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bd206762d9f56f/Bureaublad/Calculators/"/>
    </mc:Choice>
  </mc:AlternateContent>
  <xr:revisionPtr revIDLastSave="372" documentId="8_{45F5BDD2-B062-43B2-A0E4-D27269E87F09}" xr6:coauthVersionLast="47" xr6:coauthVersionMax="47" xr10:uidLastSave="{CBA6C196-4020-4E88-9921-62961DC45433}"/>
  <bookViews>
    <workbookView xWindow="-120" yWindow="-120" windowWidth="20730" windowHeight="11160" xr2:uid="{1DA9D3B6-7621-4C34-90F0-45CA7A80F96E}"/>
  </bookViews>
  <sheets>
    <sheet name="Sheet1" sheetId="1" r:id="rId1"/>
  </sheets>
  <definedNames>
    <definedName name="_xlnm.Print_Area" localSheetId="0">Sheet1!$A$1:$Z$37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G2" i="1" s="1"/>
  <c r="E6" i="1"/>
  <c r="C33" i="1"/>
  <c r="C34" i="1"/>
  <c r="C35" i="1"/>
  <c r="C31" i="1"/>
  <c r="F31" i="1" s="1"/>
  <c r="C32" i="1"/>
  <c r="F32" i="1" s="1"/>
  <c r="C30" i="1"/>
  <c r="N161" i="1" s="1"/>
  <c r="F33" i="1"/>
  <c r="G53" i="1"/>
  <c r="E54" i="1"/>
  <c r="G54" i="1"/>
  <c r="F12" i="1"/>
  <c r="AF17" i="1"/>
  <c r="G55" i="1"/>
  <c r="J59" i="1" s="1"/>
  <c r="J50" i="1"/>
  <c r="K51" i="1" s="1"/>
  <c r="J49" i="1"/>
  <c r="AF18" i="1" s="1"/>
  <c r="G49" i="1"/>
  <c r="B85" i="1"/>
  <c r="J54" i="1" l="1"/>
  <c r="K54" i="1" s="1"/>
  <c r="J53" i="1"/>
  <c r="J60" i="1" s="1"/>
  <c r="N162" i="1"/>
  <c r="N163" i="1"/>
  <c r="N164" i="1"/>
  <c r="N165" i="1"/>
  <c r="N166" i="1"/>
  <c r="L4" i="1"/>
  <c r="N4" i="1" s="1"/>
  <c r="K50" i="1"/>
  <c r="J51" i="1"/>
  <c r="M51" i="1" s="1"/>
  <c r="B86" i="1"/>
  <c r="K8" i="1"/>
  <c r="J55" i="1" l="1"/>
  <c r="K55" i="1"/>
  <c r="B87" i="1"/>
  <c r="N5" i="1"/>
  <c r="M55" i="1" l="1"/>
  <c r="J57" i="1" s="1"/>
  <c r="J58" i="1" s="1"/>
  <c r="AF21" i="1" s="1"/>
  <c r="B88" i="1"/>
  <c r="Y3" i="1"/>
  <c r="C29" i="1" s="1"/>
  <c r="X4" i="1"/>
  <c r="AF22" i="1" l="1"/>
  <c r="B89" i="1"/>
  <c r="G5" i="1"/>
  <c r="G61" i="1" l="1"/>
  <c r="G62" i="1" s="1"/>
  <c r="G63" i="1" s="1"/>
  <c r="G64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B90" i="1"/>
  <c r="F35" i="1"/>
  <c r="F34" i="1"/>
  <c r="F9" i="1"/>
  <c r="F8" i="1"/>
  <c r="F10" i="1"/>
  <c r="F11" i="1"/>
  <c r="C7" i="1"/>
  <c r="F7" i="1" s="1"/>
  <c r="G66" i="1" l="1"/>
  <c r="G68" i="1" s="1"/>
  <c r="H68" i="1" s="1"/>
  <c r="E87" i="1"/>
  <c r="F87" i="1" s="1"/>
  <c r="E86" i="1"/>
  <c r="F86" i="1" s="1"/>
  <c r="E89" i="1"/>
  <c r="F89" i="1" s="1"/>
  <c r="G89" i="1" s="1"/>
  <c r="K89" i="1" s="1"/>
  <c r="N89" i="1" s="1"/>
  <c r="E85" i="1"/>
  <c r="F85" i="1" s="1"/>
  <c r="E88" i="1"/>
  <c r="F88" i="1" s="1"/>
  <c r="E84" i="1"/>
  <c r="F84" i="1" s="1"/>
  <c r="C90" i="1"/>
  <c r="D90" i="1" s="1"/>
  <c r="E90" i="1" s="1"/>
  <c r="F90" i="1" s="1"/>
  <c r="B91" i="1"/>
  <c r="F13" i="1"/>
  <c r="P6" i="1" s="1"/>
  <c r="W6" i="1" s="1"/>
  <c r="AA4" i="1" s="1"/>
  <c r="AA9" i="1" s="1"/>
  <c r="F39" i="1"/>
  <c r="P7" i="1"/>
  <c r="P8" i="1"/>
  <c r="F38" i="1"/>
  <c r="H89" i="1" l="1"/>
  <c r="I89" i="1" s="1"/>
  <c r="H85" i="1"/>
  <c r="G85" i="1"/>
  <c r="K85" i="1" s="1"/>
  <c r="N85" i="1" s="1"/>
  <c r="G84" i="1"/>
  <c r="K84" i="1" s="1"/>
  <c r="N84" i="1" s="1"/>
  <c r="H84" i="1"/>
  <c r="H86" i="1"/>
  <c r="G86" i="1"/>
  <c r="K86" i="1" s="1"/>
  <c r="N86" i="1" s="1"/>
  <c r="H88" i="1"/>
  <c r="G88" i="1"/>
  <c r="K88" i="1" s="1"/>
  <c r="N88" i="1" s="1"/>
  <c r="G87" i="1"/>
  <c r="K87" i="1" s="1"/>
  <c r="N87" i="1" s="1"/>
  <c r="H87" i="1"/>
  <c r="C91" i="1"/>
  <c r="D91" i="1" s="1"/>
  <c r="E91" i="1" s="1"/>
  <c r="F91" i="1" s="1"/>
  <c r="B92" i="1"/>
  <c r="G90" i="1"/>
  <c r="K90" i="1" s="1"/>
  <c r="N90" i="1" s="1"/>
  <c r="H90" i="1"/>
  <c r="S5" i="1"/>
  <c r="T5" i="1" s="1"/>
  <c r="U6" i="1" s="1"/>
  <c r="N6" i="1"/>
  <c r="P9" i="1"/>
  <c r="W8" i="1" s="1"/>
  <c r="J89" i="1" l="1"/>
  <c r="M89" i="1" s="1"/>
  <c r="I84" i="1"/>
  <c r="J84" i="1"/>
  <c r="I88" i="1"/>
  <c r="J88" i="1"/>
  <c r="J87" i="1"/>
  <c r="I87" i="1"/>
  <c r="I86" i="1"/>
  <c r="J86" i="1"/>
  <c r="I85" i="1"/>
  <c r="J85" i="1"/>
  <c r="C92" i="1"/>
  <c r="D92" i="1" s="1"/>
  <c r="E92" i="1" s="1"/>
  <c r="F92" i="1" s="1"/>
  <c r="B93" i="1"/>
  <c r="I90" i="1"/>
  <c r="J90" i="1"/>
  <c r="G91" i="1"/>
  <c r="K91" i="1" s="1"/>
  <c r="N91" i="1" s="1"/>
  <c r="H91" i="1"/>
  <c r="W15" i="1"/>
  <c r="N9" i="1"/>
  <c r="N8" i="1"/>
  <c r="S8" i="1"/>
  <c r="T8" i="1" s="1"/>
  <c r="M86" i="1" l="1"/>
  <c r="M88" i="1"/>
  <c r="M85" i="1"/>
  <c r="M84" i="1"/>
  <c r="M87" i="1"/>
  <c r="G92" i="1"/>
  <c r="K92" i="1" s="1"/>
  <c r="N92" i="1" s="1"/>
  <c r="H92" i="1"/>
  <c r="M90" i="1"/>
  <c r="C93" i="1"/>
  <c r="D93" i="1" s="1"/>
  <c r="E93" i="1" s="1"/>
  <c r="F93" i="1" s="1"/>
  <c r="B94" i="1"/>
  <c r="I91" i="1"/>
  <c r="J91" i="1"/>
  <c r="AA6" i="1"/>
  <c r="AA5" i="1"/>
  <c r="AA10" i="1" s="1"/>
  <c r="S9" i="1"/>
  <c r="X8" i="1"/>
  <c r="U8" i="1" s="1"/>
  <c r="U9" i="1"/>
  <c r="G93" i="1" l="1"/>
  <c r="K93" i="1" s="1"/>
  <c r="N93" i="1" s="1"/>
  <c r="H93" i="1"/>
  <c r="I92" i="1"/>
  <c r="J92" i="1"/>
  <c r="M91" i="1"/>
  <c r="C94" i="1"/>
  <c r="D94" i="1" s="1"/>
  <c r="E94" i="1" s="1"/>
  <c r="F94" i="1" s="1"/>
  <c r="B95" i="1"/>
  <c r="S10" i="1"/>
  <c r="S11" i="1" s="1"/>
  <c r="M92" i="1" l="1"/>
  <c r="G94" i="1"/>
  <c r="K94" i="1" s="1"/>
  <c r="N94" i="1" s="1"/>
  <c r="H94" i="1"/>
  <c r="I93" i="1"/>
  <c r="J93" i="1"/>
  <c r="C95" i="1"/>
  <c r="D95" i="1" s="1"/>
  <c r="E95" i="1" s="1"/>
  <c r="F95" i="1" s="1"/>
  <c r="B96" i="1"/>
  <c r="T11" i="1"/>
  <c r="AA8" i="1" s="1"/>
  <c r="M93" i="1" l="1"/>
  <c r="C96" i="1"/>
  <c r="D96" i="1" s="1"/>
  <c r="E96" i="1" s="1"/>
  <c r="F96" i="1" s="1"/>
  <c r="B97" i="1"/>
  <c r="I94" i="1"/>
  <c r="J94" i="1"/>
  <c r="G95" i="1"/>
  <c r="K95" i="1" s="1"/>
  <c r="N95" i="1" s="1"/>
  <c r="H95" i="1"/>
  <c r="M94" i="1" l="1"/>
  <c r="I95" i="1"/>
  <c r="J95" i="1"/>
  <c r="C97" i="1"/>
  <c r="D97" i="1" s="1"/>
  <c r="E97" i="1" s="1"/>
  <c r="F97" i="1" s="1"/>
  <c r="B98" i="1"/>
  <c r="G96" i="1"/>
  <c r="K96" i="1" s="1"/>
  <c r="N96" i="1" s="1"/>
  <c r="H96" i="1"/>
  <c r="M95" i="1" l="1"/>
  <c r="C98" i="1"/>
  <c r="D98" i="1" s="1"/>
  <c r="E98" i="1" s="1"/>
  <c r="F98" i="1" s="1"/>
  <c r="B99" i="1"/>
  <c r="G97" i="1"/>
  <c r="K97" i="1" s="1"/>
  <c r="N97" i="1" s="1"/>
  <c r="H97" i="1"/>
  <c r="I96" i="1"/>
  <c r="J96" i="1"/>
  <c r="G98" i="1" l="1"/>
  <c r="K98" i="1" s="1"/>
  <c r="N98" i="1" s="1"/>
  <c r="H98" i="1"/>
  <c r="I97" i="1"/>
  <c r="J97" i="1"/>
  <c r="C99" i="1"/>
  <c r="D99" i="1" s="1"/>
  <c r="E99" i="1" s="1"/>
  <c r="F99" i="1" s="1"/>
  <c r="B100" i="1"/>
  <c r="M96" i="1"/>
  <c r="M97" i="1" l="1"/>
  <c r="I98" i="1"/>
  <c r="J98" i="1"/>
  <c r="G99" i="1"/>
  <c r="K99" i="1" s="1"/>
  <c r="N99" i="1" s="1"/>
  <c r="H99" i="1"/>
  <c r="C100" i="1"/>
  <c r="D100" i="1" s="1"/>
  <c r="E100" i="1" s="1"/>
  <c r="F100" i="1" s="1"/>
  <c r="B101" i="1"/>
  <c r="M98" i="1" l="1"/>
  <c r="J99" i="1"/>
  <c r="I99" i="1"/>
  <c r="C101" i="1"/>
  <c r="D101" i="1" s="1"/>
  <c r="E101" i="1" s="1"/>
  <c r="F101" i="1" s="1"/>
  <c r="B102" i="1"/>
  <c r="G100" i="1"/>
  <c r="K100" i="1" s="1"/>
  <c r="N100" i="1" s="1"/>
  <c r="H100" i="1"/>
  <c r="M99" i="1" l="1"/>
  <c r="I100" i="1"/>
  <c r="J100" i="1"/>
  <c r="C102" i="1"/>
  <c r="D102" i="1" s="1"/>
  <c r="E102" i="1" s="1"/>
  <c r="F102" i="1" s="1"/>
  <c r="B103" i="1"/>
  <c r="G101" i="1"/>
  <c r="K101" i="1" s="1"/>
  <c r="N101" i="1" s="1"/>
  <c r="H101" i="1"/>
  <c r="J101" i="1" l="1"/>
  <c r="I101" i="1"/>
  <c r="M100" i="1"/>
  <c r="C103" i="1"/>
  <c r="D103" i="1" s="1"/>
  <c r="E103" i="1" s="1"/>
  <c r="F103" i="1" s="1"/>
  <c r="B104" i="1"/>
  <c r="G102" i="1"/>
  <c r="K102" i="1" s="1"/>
  <c r="N102" i="1" s="1"/>
  <c r="H102" i="1"/>
  <c r="M101" i="1" l="1"/>
  <c r="G103" i="1"/>
  <c r="K103" i="1" s="1"/>
  <c r="N103" i="1" s="1"/>
  <c r="H103" i="1"/>
  <c r="C104" i="1"/>
  <c r="D104" i="1" s="1"/>
  <c r="E104" i="1" s="1"/>
  <c r="F104" i="1" s="1"/>
  <c r="B105" i="1"/>
  <c r="I102" i="1"/>
  <c r="J102" i="1"/>
  <c r="M102" i="1" l="1"/>
  <c r="C105" i="1"/>
  <c r="D105" i="1" s="1"/>
  <c r="E105" i="1" s="1"/>
  <c r="F105" i="1" s="1"/>
  <c r="B106" i="1"/>
  <c r="G104" i="1"/>
  <c r="K104" i="1" s="1"/>
  <c r="N104" i="1" s="1"/>
  <c r="H104" i="1"/>
  <c r="J103" i="1"/>
  <c r="I103" i="1"/>
  <c r="I104" i="1" l="1"/>
  <c r="J104" i="1"/>
  <c r="M103" i="1"/>
  <c r="C106" i="1"/>
  <c r="D106" i="1" s="1"/>
  <c r="E106" i="1" s="1"/>
  <c r="F106" i="1" s="1"/>
  <c r="B107" i="1"/>
  <c r="B108" i="1" s="1"/>
  <c r="B109" i="1" s="1"/>
  <c r="B110" i="1" s="1"/>
  <c r="B111" i="1" s="1"/>
  <c r="B112" i="1" s="1"/>
  <c r="B113" i="1" s="1"/>
  <c r="B114" i="1" s="1"/>
  <c r="G105" i="1"/>
  <c r="K105" i="1" s="1"/>
  <c r="N105" i="1" s="1"/>
  <c r="H105" i="1"/>
  <c r="G106" i="1" l="1"/>
  <c r="K106" i="1" s="1"/>
  <c r="N106" i="1" s="1"/>
  <c r="H106" i="1"/>
  <c r="I105" i="1"/>
  <c r="J105" i="1"/>
  <c r="C114" i="1"/>
  <c r="D114" i="1" s="1"/>
  <c r="E114" i="1" s="1"/>
  <c r="F114" i="1" s="1"/>
  <c r="B115" i="1"/>
  <c r="M104" i="1"/>
  <c r="C115" i="1" l="1"/>
  <c r="D115" i="1" s="1"/>
  <c r="E115" i="1" s="1"/>
  <c r="F115" i="1" s="1"/>
  <c r="B116" i="1"/>
  <c r="M105" i="1"/>
  <c r="I106" i="1"/>
  <c r="J106" i="1"/>
  <c r="H114" i="1"/>
  <c r="G114" i="1"/>
  <c r="K114" i="1" s="1"/>
  <c r="N114" i="1" s="1"/>
  <c r="M106" i="1" l="1"/>
  <c r="I114" i="1"/>
  <c r="J114" i="1"/>
  <c r="C116" i="1"/>
  <c r="D116" i="1" s="1"/>
  <c r="E116" i="1" s="1"/>
  <c r="F116" i="1" s="1"/>
  <c r="B117" i="1"/>
  <c r="H115" i="1"/>
  <c r="G115" i="1"/>
  <c r="K115" i="1" s="1"/>
  <c r="N115" i="1" s="1"/>
  <c r="G116" i="1" l="1"/>
  <c r="K116" i="1" s="1"/>
  <c r="N116" i="1" s="1"/>
  <c r="H116" i="1"/>
  <c r="M114" i="1"/>
  <c r="J115" i="1"/>
  <c r="I115" i="1"/>
  <c r="C117" i="1"/>
  <c r="D117" i="1" s="1"/>
  <c r="E117" i="1" s="1"/>
  <c r="F117" i="1" s="1"/>
  <c r="B118" i="1"/>
  <c r="M115" i="1" l="1"/>
  <c r="C118" i="1"/>
  <c r="D118" i="1" s="1"/>
  <c r="E118" i="1" s="1"/>
  <c r="F118" i="1" s="1"/>
  <c r="B119" i="1"/>
  <c r="J116" i="1"/>
  <c r="I116" i="1"/>
  <c r="G117" i="1"/>
  <c r="K117" i="1" s="1"/>
  <c r="N117" i="1" s="1"/>
  <c r="H117" i="1"/>
  <c r="C107" i="1"/>
  <c r="M116" i="1" l="1"/>
  <c r="J117" i="1"/>
  <c r="I117" i="1"/>
  <c r="C119" i="1"/>
  <c r="D119" i="1" s="1"/>
  <c r="E119" i="1" s="1"/>
  <c r="F119" i="1" s="1"/>
  <c r="B120" i="1"/>
  <c r="H118" i="1"/>
  <c r="G118" i="1"/>
  <c r="K118" i="1" s="1"/>
  <c r="N118" i="1" s="1"/>
  <c r="D107" i="1"/>
  <c r="E107" i="1" s="1"/>
  <c r="F107" i="1" s="1"/>
  <c r="C108" i="1"/>
  <c r="M117" i="1" l="1"/>
  <c r="C120" i="1"/>
  <c r="D120" i="1" s="1"/>
  <c r="E120" i="1" s="1"/>
  <c r="F120" i="1" s="1"/>
  <c r="B121" i="1"/>
  <c r="G119" i="1"/>
  <c r="K119" i="1" s="1"/>
  <c r="N119" i="1" s="1"/>
  <c r="H119" i="1"/>
  <c r="J118" i="1"/>
  <c r="I118" i="1"/>
  <c r="H107" i="1"/>
  <c r="I107" i="1" s="1"/>
  <c r="G107" i="1"/>
  <c r="K107" i="1" s="1"/>
  <c r="N107" i="1" s="1"/>
  <c r="D108" i="1"/>
  <c r="E108" i="1" s="1"/>
  <c r="F108" i="1" s="1"/>
  <c r="C109" i="1"/>
  <c r="J119" i="1" l="1"/>
  <c r="I119" i="1"/>
  <c r="M118" i="1"/>
  <c r="C121" i="1"/>
  <c r="D121" i="1" s="1"/>
  <c r="E121" i="1" s="1"/>
  <c r="F121" i="1" s="1"/>
  <c r="B122" i="1"/>
  <c r="G120" i="1"/>
  <c r="K120" i="1" s="1"/>
  <c r="N120" i="1" s="1"/>
  <c r="H120" i="1"/>
  <c r="H108" i="1"/>
  <c r="J108" i="1" s="1"/>
  <c r="G108" i="1"/>
  <c r="K108" i="1" s="1"/>
  <c r="N108" i="1" s="1"/>
  <c r="D109" i="1"/>
  <c r="E109" i="1" s="1"/>
  <c r="F109" i="1" s="1"/>
  <c r="J107" i="1"/>
  <c r="M107" i="1" s="1"/>
  <c r="C110" i="1"/>
  <c r="G121" i="1" l="1"/>
  <c r="K121" i="1" s="1"/>
  <c r="N121" i="1" s="1"/>
  <c r="H121" i="1"/>
  <c r="J120" i="1"/>
  <c r="I120" i="1"/>
  <c r="M119" i="1"/>
  <c r="C122" i="1"/>
  <c r="D122" i="1" s="1"/>
  <c r="E122" i="1" s="1"/>
  <c r="F122" i="1" s="1"/>
  <c r="B123" i="1"/>
  <c r="I108" i="1"/>
  <c r="M108" i="1" s="1"/>
  <c r="H109" i="1"/>
  <c r="J109" i="1" s="1"/>
  <c r="G109" i="1"/>
  <c r="K109" i="1" s="1"/>
  <c r="N109" i="1" s="1"/>
  <c r="D110" i="1"/>
  <c r="E110" i="1" s="1"/>
  <c r="F110" i="1" s="1"/>
  <c r="C111" i="1"/>
  <c r="M120" i="1" l="1"/>
  <c r="B124" i="1"/>
  <c r="C123" i="1"/>
  <c r="D123" i="1" s="1"/>
  <c r="E123" i="1" s="1"/>
  <c r="F123" i="1" s="1"/>
  <c r="J121" i="1"/>
  <c r="I121" i="1"/>
  <c r="H122" i="1"/>
  <c r="G122" i="1"/>
  <c r="K122" i="1" s="1"/>
  <c r="N122" i="1" s="1"/>
  <c r="G110" i="1"/>
  <c r="K110" i="1" s="1"/>
  <c r="N110" i="1" s="1"/>
  <c r="H110" i="1"/>
  <c r="J110" i="1" s="1"/>
  <c r="I109" i="1"/>
  <c r="M109" i="1" s="1"/>
  <c r="D111" i="1"/>
  <c r="E111" i="1" s="1"/>
  <c r="F111" i="1" s="1"/>
  <c r="C113" i="1"/>
  <c r="C112" i="1"/>
  <c r="M121" i="1" l="1"/>
  <c r="G123" i="1"/>
  <c r="K123" i="1" s="1"/>
  <c r="N123" i="1" s="1"/>
  <c r="H123" i="1"/>
  <c r="J122" i="1"/>
  <c r="I122" i="1"/>
  <c r="C124" i="1"/>
  <c r="D124" i="1" s="1"/>
  <c r="E124" i="1" s="1"/>
  <c r="F124" i="1" s="1"/>
  <c r="B125" i="1"/>
  <c r="H111" i="1"/>
  <c r="J111" i="1" s="1"/>
  <c r="G111" i="1"/>
  <c r="K111" i="1" s="1"/>
  <c r="N111" i="1" s="1"/>
  <c r="I110" i="1"/>
  <c r="M110" i="1" s="1"/>
  <c r="D112" i="1"/>
  <c r="E112" i="1" s="1"/>
  <c r="F112" i="1" s="1"/>
  <c r="D113" i="1"/>
  <c r="E113" i="1" s="1"/>
  <c r="F113" i="1" s="1"/>
  <c r="M122" i="1" l="1"/>
  <c r="G124" i="1"/>
  <c r="K124" i="1" s="1"/>
  <c r="N124" i="1" s="1"/>
  <c r="H124" i="1"/>
  <c r="C125" i="1"/>
  <c r="D125" i="1" s="1"/>
  <c r="E125" i="1" s="1"/>
  <c r="F125" i="1" s="1"/>
  <c r="B126" i="1"/>
  <c r="I123" i="1"/>
  <c r="J123" i="1"/>
  <c r="I111" i="1"/>
  <c r="M111" i="1" s="1"/>
  <c r="G113" i="1"/>
  <c r="K113" i="1" s="1"/>
  <c r="N113" i="1" s="1"/>
  <c r="H113" i="1"/>
  <c r="I113" i="1" s="1"/>
  <c r="G112" i="1"/>
  <c r="K112" i="1" s="1"/>
  <c r="N112" i="1" s="1"/>
  <c r="H112" i="1"/>
  <c r="J112" i="1" s="1"/>
  <c r="M123" i="1" l="1"/>
  <c r="C126" i="1"/>
  <c r="D126" i="1" s="1"/>
  <c r="E126" i="1" s="1"/>
  <c r="F126" i="1" s="1"/>
  <c r="B127" i="1"/>
  <c r="G125" i="1"/>
  <c r="K125" i="1" s="1"/>
  <c r="N125" i="1" s="1"/>
  <c r="H125" i="1"/>
  <c r="I124" i="1"/>
  <c r="J124" i="1"/>
  <c r="J113" i="1"/>
  <c r="M113" i="1" s="1"/>
  <c r="I112" i="1"/>
  <c r="M112" i="1" s="1"/>
  <c r="M124" i="1" l="1"/>
  <c r="G126" i="1"/>
  <c r="K126" i="1" s="1"/>
  <c r="N126" i="1" s="1"/>
  <c r="H126" i="1"/>
  <c r="I125" i="1"/>
  <c r="J125" i="1"/>
  <c r="B128" i="1"/>
  <c r="C127" i="1"/>
  <c r="D127" i="1" s="1"/>
  <c r="E127" i="1" s="1"/>
  <c r="F127" i="1" s="1"/>
  <c r="H127" i="1" l="1"/>
  <c r="G127" i="1"/>
  <c r="K127" i="1" s="1"/>
  <c r="N127" i="1" s="1"/>
  <c r="M125" i="1"/>
  <c r="J126" i="1"/>
  <c r="I126" i="1"/>
  <c r="B129" i="1"/>
  <c r="C128" i="1"/>
  <c r="D128" i="1" s="1"/>
  <c r="E128" i="1" s="1"/>
  <c r="F128" i="1" s="1"/>
  <c r="M126" i="1" l="1"/>
  <c r="G128" i="1"/>
  <c r="K128" i="1" s="1"/>
  <c r="N128" i="1" s="1"/>
  <c r="H128" i="1"/>
  <c r="B130" i="1"/>
  <c r="C129" i="1"/>
  <c r="D129" i="1" s="1"/>
  <c r="E129" i="1" s="1"/>
  <c r="F129" i="1" s="1"/>
  <c r="I127" i="1"/>
  <c r="J127" i="1"/>
  <c r="M127" i="1" l="1"/>
  <c r="G129" i="1"/>
  <c r="K129" i="1" s="1"/>
  <c r="N129" i="1" s="1"/>
  <c r="H129" i="1"/>
  <c r="C130" i="1"/>
  <c r="D130" i="1" s="1"/>
  <c r="E130" i="1" s="1"/>
  <c r="F130" i="1" s="1"/>
  <c r="B131" i="1"/>
  <c r="J128" i="1"/>
  <c r="I128" i="1"/>
  <c r="M128" i="1" l="1"/>
  <c r="H130" i="1"/>
  <c r="G130" i="1"/>
  <c r="K130" i="1" s="1"/>
  <c r="N130" i="1" s="1"/>
  <c r="C131" i="1"/>
  <c r="D131" i="1" s="1"/>
  <c r="E131" i="1" s="1"/>
  <c r="F131" i="1" s="1"/>
  <c r="B132" i="1"/>
  <c r="I129" i="1"/>
  <c r="J129" i="1"/>
  <c r="B133" i="1" l="1"/>
  <c r="C132" i="1"/>
  <c r="D132" i="1" s="1"/>
  <c r="E132" i="1" s="1"/>
  <c r="F132" i="1" s="1"/>
  <c r="H131" i="1"/>
  <c r="G131" i="1"/>
  <c r="K131" i="1" s="1"/>
  <c r="N131" i="1" s="1"/>
  <c r="M129" i="1"/>
  <c r="I130" i="1"/>
  <c r="J130" i="1"/>
  <c r="M130" i="1" l="1"/>
  <c r="J131" i="1"/>
  <c r="I131" i="1"/>
  <c r="H132" i="1"/>
  <c r="G132" i="1"/>
  <c r="K132" i="1" s="1"/>
  <c r="N132" i="1" s="1"/>
  <c r="B134" i="1"/>
  <c r="C133" i="1"/>
  <c r="D133" i="1" s="1"/>
  <c r="E133" i="1" s="1"/>
  <c r="F133" i="1" s="1"/>
  <c r="B135" i="1" l="1"/>
  <c r="C134" i="1"/>
  <c r="D134" i="1" s="1"/>
  <c r="E134" i="1" s="1"/>
  <c r="F134" i="1" s="1"/>
  <c r="I132" i="1"/>
  <c r="J132" i="1"/>
  <c r="G133" i="1"/>
  <c r="K133" i="1" s="1"/>
  <c r="N133" i="1" s="1"/>
  <c r="H133" i="1"/>
  <c r="M131" i="1"/>
  <c r="M132" i="1" l="1"/>
  <c r="I133" i="1"/>
  <c r="J133" i="1"/>
  <c r="H134" i="1"/>
  <c r="G134" i="1"/>
  <c r="K134" i="1" s="1"/>
  <c r="N134" i="1" s="1"/>
  <c r="B136" i="1"/>
  <c r="C135" i="1"/>
  <c r="D135" i="1" s="1"/>
  <c r="E135" i="1" s="1"/>
  <c r="F135" i="1" s="1"/>
  <c r="M133" i="1" l="1"/>
  <c r="I134" i="1"/>
  <c r="J134" i="1"/>
  <c r="G135" i="1"/>
  <c r="K135" i="1" s="1"/>
  <c r="N135" i="1" s="1"/>
  <c r="H135" i="1"/>
  <c r="B137" i="1"/>
  <c r="C136" i="1"/>
  <c r="D136" i="1" s="1"/>
  <c r="E136" i="1" s="1"/>
  <c r="F136" i="1" s="1"/>
  <c r="J135" i="1" l="1"/>
  <c r="I135" i="1"/>
  <c r="G136" i="1"/>
  <c r="K136" i="1" s="1"/>
  <c r="N136" i="1" s="1"/>
  <c r="H136" i="1"/>
  <c r="M134" i="1"/>
  <c r="B138" i="1"/>
  <c r="C137" i="1"/>
  <c r="D137" i="1" s="1"/>
  <c r="E137" i="1" s="1"/>
  <c r="F137" i="1" s="1"/>
  <c r="J136" i="1" l="1"/>
  <c r="I136" i="1"/>
  <c r="H137" i="1"/>
  <c r="G137" i="1"/>
  <c r="K137" i="1" s="1"/>
  <c r="N137" i="1" s="1"/>
  <c r="B139" i="1"/>
  <c r="C138" i="1"/>
  <c r="D138" i="1" s="1"/>
  <c r="E138" i="1" s="1"/>
  <c r="F138" i="1" s="1"/>
  <c r="M135" i="1"/>
  <c r="I137" i="1" l="1"/>
  <c r="J137" i="1"/>
  <c r="H138" i="1"/>
  <c r="G138" i="1"/>
  <c r="K138" i="1" s="1"/>
  <c r="N138" i="1" s="1"/>
  <c r="M136" i="1"/>
  <c r="C139" i="1"/>
  <c r="D139" i="1" s="1"/>
  <c r="E139" i="1" s="1"/>
  <c r="F139" i="1" s="1"/>
  <c r="B140" i="1"/>
  <c r="B141" i="1" l="1"/>
  <c r="C140" i="1"/>
  <c r="D140" i="1" s="1"/>
  <c r="E140" i="1" s="1"/>
  <c r="F140" i="1" s="1"/>
  <c r="J138" i="1"/>
  <c r="I138" i="1"/>
  <c r="H139" i="1"/>
  <c r="G139" i="1"/>
  <c r="K139" i="1" s="1"/>
  <c r="N139" i="1" s="1"/>
  <c r="M137" i="1"/>
  <c r="M138" i="1" l="1"/>
  <c r="H140" i="1"/>
  <c r="G140" i="1"/>
  <c r="K140" i="1" s="1"/>
  <c r="N140" i="1" s="1"/>
  <c r="I139" i="1"/>
  <c r="J139" i="1"/>
  <c r="B142" i="1"/>
  <c r="C141" i="1"/>
  <c r="D141" i="1" s="1"/>
  <c r="E141" i="1" s="1"/>
  <c r="F141" i="1" s="1"/>
  <c r="M139" i="1" l="1"/>
  <c r="G141" i="1"/>
  <c r="K141" i="1" s="1"/>
  <c r="N141" i="1" s="1"/>
  <c r="H141" i="1"/>
  <c r="C142" i="1"/>
  <c r="D142" i="1" s="1"/>
  <c r="E142" i="1" s="1"/>
  <c r="F142" i="1" s="1"/>
  <c r="B143" i="1"/>
  <c r="J140" i="1"/>
  <c r="I140" i="1"/>
  <c r="M140" i="1" l="1"/>
  <c r="C143" i="1"/>
  <c r="D143" i="1" s="1"/>
  <c r="E143" i="1" s="1"/>
  <c r="F143" i="1" s="1"/>
  <c r="B144" i="1"/>
  <c r="G142" i="1"/>
  <c r="K142" i="1" s="1"/>
  <c r="N142" i="1" s="1"/>
  <c r="H142" i="1"/>
  <c r="J141" i="1"/>
  <c r="I141" i="1"/>
  <c r="I142" i="1" l="1"/>
  <c r="J142" i="1"/>
  <c r="M141" i="1"/>
  <c r="B145" i="1"/>
  <c r="C144" i="1"/>
  <c r="D144" i="1" s="1"/>
  <c r="E144" i="1" s="1"/>
  <c r="F144" i="1" s="1"/>
  <c r="G143" i="1"/>
  <c r="K143" i="1" s="1"/>
  <c r="N143" i="1" s="1"/>
  <c r="H143" i="1"/>
  <c r="H144" i="1" l="1"/>
  <c r="G144" i="1"/>
  <c r="K144" i="1" s="1"/>
  <c r="N144" i="1" s="1"/>
  <c r="B146" i="1"/>
  <c r="C145" i="1"/>
  <c r="D145" i="1" s="1"/>
  <c r="E145" i="1" s="1"/>
  <c r="F145" i="1" s="1"/>
  <c r="I143" i="1"/>
  <c r="J143" i="1"/>
  <c r="M142" i="1"/>
  <c r="H145" i="1" l="1"/>
  <c r="G145" i="1"/>
  <c r="K145" i="1" s="1"/>
  <c r="N145" i="1" s="1"/>
  <c r="B147" i="1"/>
  <c r="C146" i="1"/>
  <c r="D146" i="1" s="1"/>
  <c r="E146" i="1" s="1"/>
  <c r="F146" i="1" s="1"/>
  <c r="M143" i="1"/>
  <c r="J144" i="1"/>
  <c r="I144" i="1"/>
  <c r="M144" i="1" l="1"/>
  <c r="H146" i="1"/>
  <c r="G146" i="1"/>
  <c r="K146" i="1" s="1"/>
  <c r="N146" i="1" s="1"/>
  <c r="I145" i="1"/>
  <c r="J145" i="1"/>
  <c r="C147" i="1"/>
  <c r="D147" i="1" s="1"/>
  <c r="E147" i="1" s="1"/>
  <c r="F147" i="1" s="1"/>
  <c r="B148" i="1"/>
  <c r="H147" i="1" l="1"/>
  <c r="G147" i="1"/>
  <c r="K147" i="1" s="1"/>
  <c r="N147" i="1" s="1"/>
  <c r="M145" i="1"/>
  <c r="B149" i="1"/>
  <c r="C148" i="1"/>
  <c r="D148" i="1" s="1"/>
  <c r="E148" i="1" s="1"/>
  <c r="F148" i="1" s="1"/>
  <c r="J146" i="1"/>
  <c r="I146" i="1"/>
  <c r="M146" i="1" l="1"/>
  <c r="G148" i="1"/>
  <c r="K148" i="1" s="1"/>
  <c r="N148" i="1" s="1"/>
  <c r="H148" i="1"/>
  <c r="I147" i="1"/>
  <c r="J147" i="1"/>
  <c r="B150" i="1"/>
  <c r="C149" i="1"/>
  <c r="D149" i="1" s="1"/>
  <c r="E149" i="1" s="1"/>
  <c r="F149" i="1" s="1"/>
  <c r="C150" i="1" l="1"/>
  <c r="D150" i="1" s="1"/>
  <c r="E150" i="1" s="1"/>
  <c r="F150" i="1" s="1"/>
  <c r="B151" i="1"/>
  <c r="M147" i="1"/>
  <c r="H149" i="1"/>
  <c r="G149" i="1"/>
  <c r="K149" i="1" s="1"/>
  <c r="N149" i="1" s="1"/>
  <c r="I148" i="1"/>
  <c r="J148" i="1"/>
  <c r="M148" i="1" l="1"/>
  <c r="I149" i="1"/>
  <c r="J149" i="1"/>
  <c r="C151" i="1"/>
  <c r="D151" i="1" s="1"/>
  <c r="E151" i="1" s="1"/>
  <c r="F151" i="1" s="1"/>
  <c r="B152" i="1"/>
  <c r="G150" i="1"/>
  <c r="K150" i="1" s="1"/>
  <c r="N150" i="1" s="1"/>
  <c r="H150" i="1"/>
  <c r="M149" i="1" l="1"/>
  <c r="H151" i="1"/>
  <c r="G151" i="1"/>
  <c r="K151" i="1" s="1"/>
  <c r="N151" i="1" s="1"/>
  <c r="B153" i="1"/>
  <c r="C152" i="1"/>
  <c r="D152" i="1" s="1"/>
  <c r="E152" i="1" s="1"/>
  <c r="F152" i="1" s="1"/>
  <c r="I150" i="1"/>
  <c r="J150" i="1"/>
  <c r="M150" i="1" l="1"/>
  <c r="H152" i="1"/>
  <c r="G152" i="1"/>
  <c r="K152" i="1" s="1"/>
  <c r="N152" i="1" s="1"/>
  <c r="B154" i="1"/>
  <c r="C153" i="1"/>
  <c r="D153" i="1" s="1"/>
  <c r="E153" i="1" s="1"/>
  <c r="F153" i="1" s="1"/>
  <c r="I151" i="1"/>
  <c r="J151" i="1"/>
  <c r="G153" i="1" l="1"/>
  <c r="K153" i="1" s="1"/>
  <c r="N153" i="1" s="1"/>
  <c r="H153" i="1"/>
  <c r="B155" i="1"/>
  <c r="C154" i="1"/>
  <c r="D154" i="1" s="1"/>
  <c r="E154" i="1" s="1"/>
  <c r="F154" i="1" s="1"/>
  <c r="M151" i="1"/>
  <c r="J152" i="1"/>
  <c r="I152" i="1"/>
  <c r="M152" i="1" l="1"/>
  <c r="H154" i="1"/>
  <c r="G154" i="1"/>
  <c r="K154" i="1" s="1"/>
  <c r="N154" i="1" s="1"/>
  <c r="C155" i="1"/>
  <c r="D155" i="1" s="1"/>
  <c r="E155" i="1" s="1"/>
  <c r="F155" i="1" s="1"/>
  <c r="B156" i="1"/>
  <c r="I153" i="1"/>
  <c r="J153" i="1"/>
  <c r="I154" i="1" l="1"/>
  <c r="J154" i="1"/>
  <c r="B157" i="1"/>
  <c r="C156" i="1"/>
  <c r="D156" i="1" s="1"/>
  <c r="E156" i="1" s="1"/>
  <c r="F156" i="1" s="1"/>
  <c r="H155" i="1"/>
  <c r="G155" i="1"/>
  <c r="K155" i="1" s="1"/>
  <c r="N155" i="1" s="1"/>
  <c r="M153" i="1"/>
  <c r="M154" i="1" l="1"/>
  <c r="G156" i="1"/>
  <c r="K156" i="1" s="1"/>
  <c r="N156" i="1" s="1"/>
  <c r="H156" i="1"/>
  <c r="C157" i="1"/>
  <c r="D157" i="1" s="1"/>
  <c r="E157" i="1" s="1"/>
  <c r="F157" i="1" s="1"/>
  <c r="B158" i="1"/>
  <c r="J155" i="1"/>
  <c r="I155" i="1"/>
  <c r="M155" i="1" l="1"/>
  <c r="C158" i="1"/>
  <c r="D158" i="1" s="1"/>
  <c r="E158" i="1" s="1"/>
  <c r="F158" i="1" s="1"/>
  <c r="B159" i="1"/>
  <c r="G157" i="1"/>
  <c r="K157" i="1" s="1"/>
  <c r="N157" i="1" s="1"/>
  <c r="H157" i="1"/>
  <c r="J156" i="1"/>
  <c r="I156" i="1"/>
  <c r="I157" i="1" l="1"/>
  <c r="J157" i="1"/>
  <c r="M156" i="1"/>
  <c r="C159" i="1"/>
  <c r="E159" i="1" s="1"/>
  <c r="F159" i="1" s="1"/>
  <c r="B160" i="1"/>
  <c r="C160" i="1" s="1"/>
  <c r="E160" i="1" s="1"/>
  <c r="F160" i="1" s="1"/>
  <c r="H158" i="1"/>
  <c r="G158" i="1"/>
  <c r="K158" i="1" s="1"/>
  <c r="N158" i="1" s="1"/>
  <c r="M157" i="1" l="1"/>
  <c r="G159" i="1"/>
  <c r="K159" i="1" s="1"/>
  <c r="N159" i="1" s="1"/>
  <c r="H159" i="1"/>
  <c r="J158" i="1"/>
  <c r="I158" i="1"/>
  <c r="G160" i="1"/>
  <c r="K160" i="1" s="1"/>
  <c r="N160" i="1" s="1"/>
  <c r="H160" i="1"/>
  <c r="M158" i="1" l="1"/>
  <c r="J159" i="1"/>
  <c r="I159" i="1"/>
  <c r="J160" i="1"/>
  <c r="I160" i="1"/>
  <c r="M159" i="1" l="1"/>
  <c r="M160" i="1"/>
</calcChain>
</file>

<file path=xl/sharedStrings.xml><?xml version="1.0" encoding="utf-8"?>
<sst xmlns="http://schemas.openxmlformats.org/spreadsheetml/2006/main" count="116" uniqueCount="88">
  <si>
    <t>s</t>
  </si>
  <si>
    <t>Hz</t>
  </si>
  <si>
    <t>Ω</t>
  </si>
  <si>
    <t>R2'*(1-s)/s</t>
  </si>
  <si>
    <t>V</t>
  </si>
  <si>
    <r>
      <rPr>
        <u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shaft</t>
    </r>
  </si>
  <si>
    <t>P shaft 3phase</t>
  </si>
  <si>
    <t>W</t>
  </si>
  <si>
    <t>P1 3 phase</t>
  </si>
  <si>
    <t>I shaft</t>
  </si>
  <si>
    <t>I1</t>
  </si>
  <si>
    <t>phi I1</t>
  </si>
  <si>
    <t>T shaft</t>
  </si>
  <si>
    <t>INDUCTION MACHINE</t>
  </si>
  <si>
    <t>A</t>
  </si>
  <si>
    <t>°</t>
  </si>
  <si>
    <t>%</t>
  </si>
  <si>
    <t>Results:</t>
  </si>
  <si>
    <t>Efficiency =</t>
  </si>
  <si>
    <t>Fill in red values:</t>
  </si>
  <si>
    <t>slip s =</t>
  </si>
  <si>
    <t>Behaviour =</t>
  </si>
  <si>
    <t>VAR</t>
  </si>
  <si>
    <r>
      <t>f</t>
    </r>
    <r>
      <rPr>
        <b/>
        <sz val="9"/>
        <color theme="1"/>
        <rFont val="Calibri"/>
        <family val="2"/>
        <scheme val="minor"/>
      </rPr>
      <t>g</t>
    </r>
    <r>
      <rPr>
        <b/>
        <sz val="11"/>
        <color theme="1"/>
        <rFont val="Calibri"/>
        <family val="2"/>
        <scheme val="minor"/>
      </rPr>
      <t xml:space="preserve"> =</t>
    </r>
  </si>
  <si>
    <r>
      <t>R</t>
    </r>
    <r>
      <rPr>
        <b/>
        <sz val="9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=</t>
    </r>
  </si>
  <si>
    <r>
      <t>R</t>
    </r>
    <r>
      <rPr>
        <b/>
        <sz val="9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 xml:space="preserve"> =</t>
    </r>
  </si>
  <si>
    <r>
      <t>X</t>
    </r>
    <r>
      <rPr>
        <b/>
        <sz val="9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 xml:space="preserve"> =</t>
    </r>
  </si>
  <si>
    <r>
      <t>R</t>
    </r>
    <r>
      <rPr>
        <b/>
        <sz val="9"/>
        <color theme="1"/>
        <rFont val="Calibri"/>
        <family val="2"/>
        <scheme val="minor"/>
      </rPr>
      <t>ij</t>
    </r>
    <r>
      <rPr>
        <b/>
        <sz val="11"/>
        <color theme="1"/>
        <rFont val="Calibri"/>
        <family val="2"/>
        <scheme val="minor"/>
      </rPr>
      <t xml:space="preserve"> =</t>
    </r>
  </si>
  <si>
    <r>
      <t>X</t>
    </r>
    <r>
      <rPr>
        <b/>
        <sz val="9"/>
        <color theme="1"/>
        <rFont val="Calibri"/>
        <family val="2"/>
      </rPr>
      <t>μ</t>
    </r>
    <r>
      <rPr>
        <b/>
        <sz val="11"/>
        <color theme="1"/>
        <rFont val="Calibri"/>
        <family val="2"/>
        <scheme val="minor"/>
      </rPr>
      <t xml:space="preserve"> =</t>
    </r>
  </si>
  <si>
    <r>
      <t>R</t>
    </r>
    <r>
      <rPr>
        <b/>
        <sz val="9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' =</t>
    </r>
  </si>
  <si>
    <r>
      <rPr>
        <b/>
        <u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>'</t>
    </r>
    <r>
      <rPr>
        <b/>
        <sz val="9"/>
        <color theme="1"/>
        <rFont val="Calibri"/>
        <family val="2"/>
        <scheme val="minor"/>
      </rPr>
      <t>rotor</t>
    </r>
    <r>
      <rPr>
        <b/>
        <sz val="11"/>
        <color theme="1"/>
        <rFont val="Calibri"/>
        <family val="2"/>
        <scheme val="minor"/>
      </rPr>
      <t xml:space="preserve"> =</t>
    </r>
  </si>
  <si>
    <r>
      <rPr>
        <b/>
        <u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</rPr>
      <t>μ</t>
    </r>
  </si>
  <si>
    <r>
      <t>I</t>
    </r>
    <r>
      <rPr>
        <b/>
        <sz val="11"/>
        <color theme="1"/>
        <rFont val="Calibri"/>
        <family val="2"/>
        <scheme val="minor"/>
      </rPr>
      <t>g =</t>
    </r>
  </si>
  <si>
    <r>
      <rPr>
        <b/>
        <u/>
        <sz val="11"/>
        <color theme="1"/>
        <rFont val="Calibri"/>
        <family val="2"/>
        <scheme val="minor"/>
      </rPr>
      <t>I</t>
    </r>
    <r>
      <rPr>
        <b/>
        <sz val="9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=</t>
    </r>
  </si>
  <si>
    <r>
      <t>P</t>
    </r>
    <r>
      <rPr>
        <b/>
        <sz val="9"/>
        <color rgb="FFC00000"/>
        <rFont val="Calibri"/>
        <family val="2"/>
        <scheme val="minor"/>
      </rPr>
      <t xml:space="preserve">rotor </t>
    </r>
    <r>
      <rPr>
        <b/>
        <sz val="11"/>
        <color rgb="FFC00000"/>
        <rFont val="Calibri"/>
        <family val="2"/>
        <scheme val="minor"/>
      </rPr>
      <t>=</t>
    </r>
  </si>
  <si>
    <t>T rotor =</t>
  </si>
  <si>
    <t>Nm</t>
  </si>
  <si>
    <t>HAN University of Applied Sciences, Arnhem, the Netherlands</t>
  </si>
  <si>
    <t>© Amperes.nl      email:  info@amperes.nl</t>
  </si>
  <si>
    <t>For private use only and not for commercial settings</t>
  </si>
  <si>
    <t>complex</t>
  </si>
  <si>
    <r>
      <rPr>
        <u/>
        <sz val="11"/>
        <color theme="0"/>
        <rFont val="Calibri"/>
        <family val="2"/>
        <scheme val="minor"/>
      </rPr>
      <t>Z</t>
    </r>
    <r>
      <rPr>
        <sz val="11"/>
        <color theme="0"/>
        <rFont val="Calibri"/>
        <family val="2"/>
        <scheme val="minor"/>
      </rPr>
      <t xml:space="preserve"> shaft</t>
    </r>
  </si>
  <si>
    <r>
      <rPr>
        <u/>
        <sz val="11"/>
        <color theme="0"/>
        <rFont val="Calibri"/>
        <family val="2"/>
        <scheme val="minor"/>
      </rPr>
      <t>I</t>
    </r>
    <r>
      <rPr>
        <sz val="11"/>
        <color theme="0"/>
        <rFont val="Calibri"/>
        <family val="2"/>
        <scheme val="minor"/>
      </rPr>
      <t>shaft</t>
    </r>
  </si>
  <si>
    <r>
      <rPr>
        <u/>
        <sz val="11"/>
        <color theme="0"/>
        <rFont val="Calibri"/>
        <family val="2"/>
        <scheme val="minor"/>
      </rPr>
      <t>I</t>
    </r>
    <r>
      <rPr>
        <sz val="11"/>
        <color theme="0"/>
        <rFont val="Calibri"/>
        <family val="2"/>
        <scheme val="minor"/>
      </rPr>
      <t>1</t>
    </r>
  </si>
  <si>
    <t>Ð</t>
  </si>
  <si>
    <t>Number of digits after the decimal point for I, P and Q:</t>
  </si>
  <si>
    <r>
      <t>Q</t>
    </r>
    <r>
      <rPr>
        <b/>
        <sz val="9"/>
        <color rgb="FFC00000"/>
        <rFont val="Calibri"/>
        <family val="2"/>
        <scheme val="minor"/>
      </rPr>
      <t>g 3 phase</t>
    </r>
    <r>
      <rPr>
        <b/>
        <sz val="11"/>
        <color rgb="FFC00000"/>
        <rFont val="Calibri"/>
        <family val="2"/>
        <scheme val="minor"/>
      </rPr>
      <t xml:space="preserve"> =</t>
    </r>
  </si>
  <si>
    <r>
      <t>P</t>
    </r>
    <r>
      <rPr>
        <b/>
        <sz val="9"/>
        <color rgb="FFC00000"/>
        <rFont val="Calibri"/>
        <family val="2"/>
        <scheme val="minor"/>
      </rPr>
      <t>g 3phase</t>
    </r>
    <r>
      <rPr>
        <b/>
        <sz val="11"/>
        <color rgb="FFC00000"/>
        <rFont val="Calibri"/>
        <family val="2"/>
        <scheme val="minor"/>
      </rPr>
      <t xml:space="preserve"> =</t>
    </r>
  </si>
  <si>
    <r>
      <t>f</t>
    </r>
    <r>
      <rPr>
        <b/>
        <sz val="9"/>
        <color theme="1"/>
        <rFont val="Calibri"/>
        <family val="2"/>
        <scheme val="minor"/>
      </rPr>
      <t xml:space="preserve">rotor </t>
    </r>
    <r>
      <rPr>
        <b/>
        <sz val="11"/>
        <color theme="1"/>
        <rFont val="Calibri"/>
        <family val="2"/>
        <scheme val="minor"/>
      </rPr>
      <t>=</t>
    </r>
  </si>
  <si>
    <t>Qo=</t>
  </si>
  <si>
    <t>øIo =</t>
  </si>
  <si>
    <t>graden</t>
  </si>
  <si>
    <t>complex:</t>
  </si>
  <si>
    <t>Uk2</t>
  </si>
  <si>
    <t>Qk =</t>
  </si>
  <si>
    <t>Ik2</t>
  </si>
  <si>
    <t>øIk =</t>
  </si>
  <si>
    <t>Pk2</t>
  </si>
  <si>
    <t>IRL =</t>
  </si>
  <si>
    <t>PRL =</t>
  </si>
  <si>
    <t>QRL =</t>
  </si>
  <si>
    <t>Rij =</t>
  </si>
  <si>
    <t>Ω</t>
  </si>
  <si>
    <t>Rk =</t>
  </si>
  <si>
    <t>Xk =</t>
  </si>
  <si>
    <t xml:space="preserve">Rktot = </t>
  </si>
  <si>
    <t>Zk' =</t>
  </si>
  <si>
    <t>Ik' =</t>
  </si>
  <si>
    <t>Mod Ik' =</t>
  </si>
  <si>
    <t>Ig =</t>
  </si>
  <si>
    <t>Arg Ig =</t>
  </si>
  <si>
    <t>Full load:</t>
  </si>
  <si>
    <t>Zero load:</t>
  </si>
  <si>
    <r>
      <rPr>
        <u/>
        <sz val="11"/>
        <color theme="0"/>
        <rFont val="Calibri"/>
        <family val="2"/>
        <scheme val="minor"/>
      </rPr>
      <t>I</t>
    </r>
    <r>
      <rPr>
        <sz val="11"/>
        <color theme="0"/>
        <rFont val="Calibri"/>
        <family val="2"/>
        <scheme val="minor"/>
      </rPr>
      <t>o =</t>
    </r>
  </si>
  <si>
    <r>
      <rPr>
        <u/>
        <sz val="11"/>
        <color theme="0"/>
        <rFont val="Calibri"/>
        <family val="2"/>
        <scheme val="minor"/>
      </rPr>
      <t>I2k</t>
    </r>
    <r>
      <rPr>
        <sz val="11"/>
        <color theme="0"/>
        <rFont val="Calibri"/>
        <family val="2"/>
        <scheme val="minor"/>
      </rPr>
      <t xml:space="preserve"> =</t>
    </r>
  </si>
  <si>
    <t>rpm</t>
  </si>
  <si>
    <t xml:space="preserve">    Uo =</t>
  </si>
  <si>
    <t xml:space="preserve">    Io =</t>
  </si>
  <si>
    <t xml:space="preserve">    Po =</t>
  </si>
  <si>
    <t xml:space="preserve">    Uk =</t>
  </si>
  <si>
    <t xml:space="preserve">    Ik =</t>
  </si>
  <si>
    <t xml:space="preserve">    Pk =</t>
  </si>
  <si>
    <t>rps</t>
  </si>
  <si>
    <r>
      <t>X</t>
    </r>
    <r>
      <rPr>
        <b/>
        <sz val="11"/>
        <color theme="1"/>
        <rFont val="Calibri"/>
        <family val="2"/>
      </rPr>
      <t>µ =</t>
    </r>
  </si>
  <si>
    <t xml:space="preserve">Number of pole pairs = </t>
  </si>
  <si>
    <r>
      <t>U</t>
    </r>
    <r>
      <rPr>
        <b/>
        <sz val="9"/>
        <color theme="1"/>
        <rFont val="Calibri"/>
        <family val="2"/>
        <scheme val="minor"/>
      </rPr>
      <t>g</t>
    </r>
    <r>
      <rPr>
        <b/>
        <sz val="11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Symbol"/>
        <family val="1"/>
        <charset val="2"/>
      </rPr>
      <t>Ð</t>
    </r>
    <r>
      <rPr>
        <b/>
        <sz val="11"/>
        <color theme="1"/>
        <rFont val="Calibri"/>
        <family val="2"/>
        <scheme val="minor"/>
      </rPr>
      <t xml:space="preserve"> 0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) =</t>
    </r>
  </si>
  <si>
    <t>Bram Steennis     Version May 25  2023</t>
  </si>
  <si>
    <t>Measurements &gt; 0 !!: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</si>
</sst>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5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863276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4" fontId="0" fillId="0" borderId="0" xfId="0" applyNumberFormat="1"/>
    <xf numFmtId="4" fontId="4" fillId="0" borderId="0" xfId="0" applyNumberFormat="1" applyFont="1"/>
    <xf numFmtId="0" fontId="6" fillId="0" borderId="0" xfId="0" applyFont="1"/>
    <xf numFmtId="0" fontId="5" fillId="0" borderId="0" xfId="0" applyFont="1"/>
    <xf numFmtId="0" fontId="5" fillId="2" borderId="9" xfId="0" applyFont="1" applyFill="1" applyBorder="1"/>
    <xf numFmtId="0" fontId="8" fillId="2" borderId="11" xfId="0" applyFont="1" applyFill="1" applyBorder="1"/>
    <xf numFmtId="0" fontId="5" fillId="2" borderId="4" xfId="0" applyFont="1" applyFill="1" applyBorder="1"/>
    <xf numFmtId="0" fontId="8" fillId="2" borderId="5" xfId="0" applyFont="1" applyFill="1" applyBorder="1"/>
    <xf numFmtId="0" fontId="5" fillId="2" borderId="5" xfId="0" applyFont="1" applyFill="1" applyBorder="1"/>
    <xf numFmtId="0" fontId="5" fillId="2" borderId="12" xfId="0" applyFont="1" applyFill="1" applyBorder="1"/>
    <xf numFmtId="0" fontId="8" fillId="2" borderId="14" xfId="0" applyFont="1" applyFill="1" applyBorder="1"/>
    <xf numFmtId="4" fontId="5" fillId="0" borderId="0" xfId="0" applyNumberFormat="1" applyFont="1"/>
    <xf numFmtId="0" fontId="5" fillId="0" borderId="2" xfId="0" applyFont="1" applyBorder="1"/>
    <xf numFmtId="0" fontId="5" fillId="0" borderId="5" xfId="0" applyFont="1" applyBorder="1"/>
    <xf numFmtId="0" fontId="5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11" fillId="0" borderId="0" xfId="0" applyFont="1"/>
    <xf numFmtId="0" fontId="5" fillId="0" borderId="6" xfId="0" applyFont="1" applyBorder="1"/>
    <xf numFmtId="4" fontId="5" fillId="0" borderId="8" xfId="0" applyNumberFormat="1" applyFont="1" applyBorder="1" applyAlignment="1">
      <alignment horizontal="right"/>
    </xf>
    <xf numFmtId="0" fontId="5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13" fillId="0" borderId="0" xfId="0" applyFont="1"/>
    <xf numFmtId="4" fontId="6" fillId="2" borderId="10" xfId="0" applyNumberFormat="1" applyFont="1" applyFill="1" applyBorder="1" applyProtection="1">
      <protection locked="0"/>
    </xf>
    <xf numFmtId="4" fontId="6" fillId="2" borderId="0" xfId="0" applyNumberFormat="1" applyFont="1" applyFill="1" applyProtection="1">
      <protection locked="0"/>
    </xf>
    <xf numFmtId="4" fontId="5" fillId="2" borderId="0" xfId="0" applyNumberFormat="1" applyFont="1" applyFill="1" applyProtection="1">
      <protection locked="0"/>
    </xf>
    <xf numFmtId="4" fontId="6" fillId="2" borderId="13" xfId="0" applyNumberFormat="1" applyFont="1" applyFill="1" applyBorder="1" applyProtection="1">
      <protection locked="0"/>
    </xf>
    <xf numFmtId="2" fontId="0" fillId="0" borderId="0" xfId="0" applyNumberFormat="1"/>
    <xf numFmtId="2" fontId="3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9" xfId="0" applyFont="1" applyBorder="1"/>
    <xf numFmtId="0" fontId="18" fillId="0" borderId="0" xfId="0" applyFont="1"/>
    <xf numFmtId="164" fontId="3" fillId="0" borderId="0" xfId="0" applyNumberFormat="1" applyFont="1"/>
    <xf numFmtId="0" fontId="4" fillId="4" borderId="0" xfId="0" applyFont="1" applyFill="1"/>
    <xf numFmtId="0" fontId="19" fillId="0" borderId="4" xfId="0" applyFont="1" applyBorder="1"/>
    <xf numFmtId="0" fontId="5" fillId="3" borderId="9" xfId="0" applyFont="1" applyFill="1" applyBorder="1"/>
    <xf numFmtId="0" fontId="5" fillId="3" borderId="10" xfId="0" applyFont="1" applyFill="1" applyBorder="1"/>
    <xf numFmtId="0" fontId="6" fillId="3" borderId="11" xfId="0" applyFont="1" applyFill="1" applyBorder="1" applyAlignment="1" applyProtection="1">
      <alignment horizontal="left"/>
      <protection locked="0"/>
    </xf>
    <xf numFmtId="0" fontId="0" fillId="3" borderId="10" xfId="0" applyFill="1" applyBorder="1"/>
    <xf numFmtId="0" fontId="14" fillId="0" borderId="0" xfId="0" applyFont="1"/>
    <xf numFmtId="0" fontId="11" fillId="0" borderId="5" xfId="0" applyFont="1" applyBorder="1"/>
    <xf numFmtId="0" fontId="11" fillId="0" borderId="8" xfId="0" applyFont="1" applyBorder="1"/>
    <xf numFmtId="0" fontId="8" fillId="0" borderId="5" xfId="0" applyFont="1" applyBorder="1"/>
    <xf numFmtId="0" fontId="17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8" fillId="0" borderId="14" xfId="0" applyFont="1" applyBorder="1"/>
    <xf numFmtId="0" fontId="5" fillId="0" borderId="1" xfId="0" applyFont="1" applyBorder="1"/>
    <xf numFmtId="0" fontId="0" fillId="0" borderId="2" xfId="0" applyBorder="1"/>
    <xf numFmtId="0" fontId="21" fillId="0" borderId="3" xfId="0" applyFont="1" applyBorder="1"/>
    <xf numFmtId="0" fontId="22" fillId="0" borderId="5" xfId="0" applyFont="1" applyBorder="1"/>
    <xf numFmtId="0" fontId="21" fillId="0" borderId="5" xfId="0" applyFont="1" applyBorder="1"/>
    <xf numFmtId="0" fontId="5" fillId="0" borderId="7" xfId="0" applyFont="1" applyBorder="1"/>
    <xf numFmtId="0" fontId="0" fillId="0" borderId="7" xfId="0" applyBorder="1"/>
    <xf numFmtId="0" fontId="21" fillId="0" borderId="8" xfId="0" applyFont="1" applyBorder="1"/>
    <xf numFmtId="0" fontId="23" fillId="0" borderId="2" xfId="0" applyFont="1" applyBorder="1"/>
    <xf numFmtId="0" fontId="23" fillId="0" borderId="0" xfId="0" applyFont="1"/>
    <xf numFmtId="0" fontId="23" fillId="0" borderId="7" xfId="0" applyFont="1" applyBorder="1"/>
    <xf numFmtId="0" fontId="25" fillId="0" borderId="0" xfId="0" applyFont="1"/>
    <xf numFmtId="0" fontId="24" fillId="0" borderId="0" xfId="0" applyFont="1"/>
    <xf numFmtId="0" fontId="5" fillId="2" borderId="6" xfId="0" applyFont="1" applyFill="1" applyBorder="1"/>
    <xf numFmtId="4" fontId="6" fillId="2" borderId="7" xfId="0" applyNumberFormat="1" applyFont="1" applyFill="1" applyBorder="1" applyProtection="1">
      <protection locked="0"/>
    </xf>
    <xf numFmtId="0" fontId="8" fillId="2" borderId="8" xfId="0" applyFont="1" applyFill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7" fillId="0" borderId="10" xfId="0" applyFont="1" applyBorder="1"/>
    <xf numFmtId="0" fontId="6" fillId="2" borderId="2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7" xfId="0" applyFont="1" applyFill="1" applyBorder="1" applyProtection="1">
      <protection locked="0"/>
    </xf>
    <xf numFmtId="0" fontId="5" fillId="2" borderId="8" xfId="0" applyFont="1" applyFill="1" applyBorder="1"/>
    <xf numFmtId="4" fontId="24" fillId="4" borderId="0" xfId="0" applyNumberFormat="1" applyFont="1" applyFill="1"/>
    <xf numFmtId="0" fontId="5" fillId="2" borderId="1" xfId="0" applyFont="1" applyFill="1" applyBorder="1"/>
    <xf numFmtId="0" fontId="8" fillId="0" borderId="3" xfId="0" applyFont="1" applyBorder="1"/>
    <xf numFmtId="0" fontId="8" fillId="0" borderId="8" xfId="0" applyFont="1" applyBorder="1"/>
    <xf numFmtId="0" fontId="0" fillId="4" borderId="0" xfId="0" applyFill="1"/>
    <xf numFmtId="0" fontId="5" fillId="4" borderId="0" xfId="0" applyFont="1" applyFill="1"/>
    <xf numFmtId="0" fontId="6" fillId="4" borderId="0" xfId="0" applyFont="1" applyFill="1" applyProtection="1">
      <protection locked="0"/>
    </xf>
    <xf numFmtId="0" fontId="5" fillId="2" borderId="3" xfId="0" applyFont="1" applyFill="1" applyBorder="1"/>
    <xf numFmtId="0" fontId="26" fillId="0" borderId="0" xfId="0" applyFont="1"/>
    <xf numFmtId="0" fontId="5" fillId="0" borderId="15" xfId="0" applyFont="1" applyBorder="1"/>
    <xf numFmtId="0" fontId="5" fillId="0" borderId="17" xfId="0" applyFont="1" applyBorder="1"/>
    <xf numFmtId="0" fontId="5" fillId="0" borderId="9" xfId="0" applyFont="1" applyBorder="1"/>
    <xf numFmtId="3" fontId="27" fillId="0" borderId="16" xfId="0" applyNumberFormat="1" applyFont="1" applyBorder="1"/>
    <xf numFmtId="3" fontId="27" fillId="0" borderId="11" xfId="0" applyNumberFormat="1" applyFont="1" applyBorder="1"/>
    <xf numFmtId="2" fontId="4" fillId="4" borderId="0" xfId="0" applyNumberFormat="1" applyFont="1" applyFill="1"/>
    <xf numFmtId="0" fontId="26" fillId="4" borderId="0" xfId="0" applyFont="1" applyFill="1"/>
    <xf numFmtId="0" fontId="24" fillId="4" borderId="0" xfId="0" applyFont="1" applyFill="1"/>
    <xf numFmtId="2" fontId="24" fillId="4" borderId="0" xfId="0" applyNumberFormat="1" applyFont="1" applyFill="1"/>
    <xf numFmtId="0" fontId="28" fillId="4" borderId="0" xfId="0" applyFont="1" applyFill="1"/>
    <xf numFmtId="165" fontId="5" fillId="0" borderId="2" xfId="0" applyNumberFormat="1" applyFont="1" applyBorder="1"/>
    <xf numFmtId="165" fontId="5" fillId="0" borderId="7" xfId="0" applyNumberFormat="1" applyFont="1" applyBorder="1"/>
    <xf numFmtId="165" fontId="0" fillId="0" borderId="0" xfId="0" applyNumberFormat="1"/>
    <xf numFmtId="0" fontId="0" fillId="0" borderId="10" xfId="0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63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</a:t>
            </a:r>
            <a:r>
              <a:rPr lang="en-US" sz="1100"/>
              <a:t>rotor</a:t>
            </a:r>
            <a:r>
              <a:rPr lang="en-US"/>
              <a:t>(s)</a:t>
            </a:r>
          </a:p>
        </c:rich>
      </c:tx>
      <c:layout>
        <c:manualLayout>
          <c:xMode val="edge"/>
          <c:yMode val="edge"/>
          <c:x val="7.8307008884501442E-2"/>
          <c:y val="0.11216350947158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Trotor(s):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Sheet1!$B$84:$B$160</c:f>
              <c:numCache>
                <c:formatCode>General</c:formatCode>
                <c:ptCount val="77"/>
                <c:pt idx="0">
                  <c:v>-0.2</c:v>
                </c:pt>
                <c:pt idx="1">
                  <c:v>-0.18000000000000002</c:v>
                </c:pt>
                <c:pt idx="2">
                  <c:v>-0.16000000000000003</c:v>
                </c:pt>
                <c:pt idx="3">
                  <c:v>-0.14000000000000004</c:v>
                </c:pt>
                <c:pt idx="4">
                  <c:v>-0.12000000000000004</c:v>
                </c:pt>
                <c:pt idx="5">
                  <c:v>-0.10000000000000003</c:v>
                </c:pt>
                <c:pt idx="6">
                  <c:v>-8.0000000000000029E-2</c:v>
                </c:pt>
                <c:pt idx="7">
                  <c:v>-6.0000000000000026E-2</c:v>
                </c:pt>
                <c:pt idx="8">
                  <c:v>-4.0000000000000022E-2</c:v>
                </c:pt>
                <c:pt idx="9">
                  <c:v>-2.0000000000000021E-2</c:v>
                </c:pt>
                <c:pt idx="10">
                  <c:v>0</c:v>
                </c:pt>
                <c:pt idx="11">
                  <c:v>0.02</c:v>
                </c:pt>
                <c:pt idx="12">
                  <c:v>0.04</c:v>
                </c:pt>
                <c:pt idx="13">
                  <c:v>0.06</c:v>
                </c:pt>
                <c:pt idx="14">
                  <c:v>0.08</c:v>
                </c:pt>
                <c:pt idx="15">
                  <c:v>0.1</c:v>
                </c:pt>
                <c:pt idx="16">
                  <c:v>0.12000000000000001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0.18</c:v>
                </c:pt>
                <c:pt idx="20">
                  <c:v>0.19999999999999998</c:v>
                </c:pt>
                <c:pt idx="21">
                  <c:v>0.21999999999999997</c:v>
                </c:pt>
                <c:pt idx="22">
                  <c:v>0.23999999999999996</c:v>
                </c:pt>
                <c:pt idx="23">
                  <c:v>0.25999999999999995</c:v>
                </c:pt>
                <c:pt idx="24">
                  <c:v>0.27999999999999997</c:v>
                </c:pt>
                <c:pt idx="25">
                  <c:v>0.3</c:v>
                </c:pt>
                <c:pt idx="26">
                  <c:v>0.32</c:v>
                </c:pt>
                <c:pt idx="27">
                  <c:v>0.34</c:v>
                </c:pt>
                <c:pt idx="28">
                  <c:v>0.36000000000000004</c:v>
                </c:pt>
                <c:pt idx="29">
                  <c:v>0.38000000000000006</c:v>
                </c:pt>
                <c:pt idx="30">
                  <c:v>0.40000000000000008</c:v>
                </c:pt>
                <c:pt idx="31">
                  <c:v>0.4200000000000001</c:v>
                </c:pt>
                <c:pt idx="32">
                  <c:v>0.44000000000000011</c:v>
                </c:pt>
                <c:pt idx="33">
                  <c:v>0.46000000000000013</c:v>
                </c:pt>
                <c:pt idx="34">
                  <c:v>0.48000000000000015</c:v>
                </c:pt>
                <c:pt idx="35">
                  <c:v>0.50000000000000011</c:v>
                </c:pt>
                <c:pt idx="36">
                  <c:v>0.52000000000000013</c:v>
                </c:pt>
                <c:pt idx="37">
                  <c:v>0.54000000000000015</c:v>
                </c:pt>
                <c:pt idx="38">
                  <c:v>0.56000000000000016</c:v>
                </c:pt>
                <c:pt idx="39">
                  <c:v>0.58000000000000018</c:v>
                </c:pt>
                <c:pt idx="40">
                  <c:v>0.6000000000000002</c:v>
                </c:pt>
                <c:pt idx="41">
                  <c:v>0.62000000000000022</c:v>
                </c:pt>
                <c:pt idx="42">
                  <c:v>0.64000000000000024</c:v>
                </c:pt>
                <c:pt idx="43">
                  <c:v>0.66000000000000025</c:v>
                </c:pt>
                <c:pt idx="44">
                  <c:v>0.68000000000000027</c:v>
                </c:pt>
                <c:pt idx="45">
                  <c:v>0.70000000000000029</c:v>
                </c:pt>
                <c:pt idx="46">
                  <c:v>0.72000000000000031</c:v>
                </c:pt>
                <c:pt idx="47">
                  <c:v>0.74000000000000032</c:v>
                </c:pt>
                <c:pt idx="48">
                  <c:v>0.76000000000000034</c:v>
                </c:pt>
                <c:pt idx="49">
                  <c:v>0.78000000000000036</c:v>
                </c:pt>
                <c:pt idx="50">
                  <c:v>0.80000000000000038</c:v>
                </c:pt>
                <c:pt idx="51">
                  <c:v>0.8200000000000004</c:v>
                </c:pt>
                <c:pt idx="52">
                  <c:v>0.84000000000000041</c:v>
                </c:pt>
                <c:pt idx="53">
                  <c:v>0.86000000000000043</c:v>
                </c:pt>
                <c:pt idx="54">
                  <c:v>0.88000000000000045</c:v>
                </c:pt>
                <c:pt idx="55">
                  <c:v>0.90000000000000047</c:v>
                </c:pt>
                <c:pt idx="56">
                  <c:v>0.92000000000000048</c:v>
                </c:pt>
                <c:pt idx="57">
                  <c:v>0.9400000000000005</c:v>
                </c:pt>
                <c:pt idx="58">
                  <c:v>0.96000000000000052</c:v>
                </c:pt>
                <c:pt idx="59">
                  <c:v>0.98000000000000054</c:v>
                </c:pt>
                <c:pt idx="60">
                  <c:v>1.0000000000000004</c:v>
                </c:pt>
                <c:pt idx="61">
                  <c:v>1.0200000000000005</c:v>
                </c:pt>
                <c:pt idx="62">
                  <c:v>1.0400000000000005</c:v>
                </c:pt>
                <c:pt idx="63">
                  <c:v>1.0600000000000005</c:v>
                </c:pt>
                <c:pt idx="64">
                  <c:v>1.0800000000000005</c:v>
                </c:pt>
                <c:pt idx="65">
                  <c:v>1.1000000000000005</c:v>
                </c:pt>
                <c:pt idx="66">
                  <c:v>1.1200000000000006</c:v>
                </c:pt>
                <c:pt idx="67">
                  <c:v>1.1400000000000006</c:v>
                </c:pt>
                <c:pt idx="68">
                  <c:v>1.1600000000000006</c:v>
                </c:pt>
                <c:pt idx="69">
                  <c:v>1.1800000000000006</c:v>
                </c:pt>
                <c:pt idx="70">
                  <c:v>1.2000000000000006</c:v>
                </c:pt>
                <c:pt idx="71">
                  <c:v>1.2200000000000006</c:v>
                </c:pt>
                <c:pt idx="72">
                  <c:v>1.2400000000000007</c:v>
                </c:pt>
                <c:pt idx="73">
                  <c:v>1.2600000000000007</c:v>
                </c:pt>
                <c:pt idx="74">
                  <c:v>1.2800000000000007</c:v>
                </c:pt>
                <c:pt idx="75">
                  <c:v>1.3000000000000007</c:v>
                </c:pt>
                <c:pt idx="76">
                  <c:v>1.3200000000000007</c:v>
                </c:pt>
              </c:numCache>
            </c:numRef>
          </c:xVal>
          <c:yVal>
            <c:numRef>
              <c:f>Sheet1!$N$84:$N$160</c:f>
              <c:numCache>
                <c:formatCode>General</c:formatCode>
                <c:ptCount val="77"/>
                <c:pt idx="0">
                  <c:v>-400.85339100272171</c:v>
                </c:pt>
                <c:pt idx="1">
                  <c:v>-359.85912935922369</c:v>
                </c:pt>
                <c:pt idx="2">
                  <c:v>-318.12459748221733</c:v>
                </c:pt>
                <c:pt idx="3">
                  <c:v>-276.0300719951814</c:v>
                </c:pt>
                <c:pt idx="4">
                  <c:v>-233.9517384311917</c:v>
                </c:pt>
                <c:pt idx="5">
                  <c:v>-192.25107009772069</c:v>
                </c:pt>
                <c:pt idx="6">
                  <c:v>-151.26543056706518</c:v>
                </c:pt>
                <c:pt idx="7">
                  <c:v>-111.30035473669433</c:v>
                </c:pt>
                <c:pt idx="8">
                  <c:v>-72.623793289622597</c:v>
                </c:pt>
                <c:pt idx="9">
                  <c:v>-35.462427768948906</c:v>
                </c:pt>
                <c:pt idx="10">
                  <c:v>0</c:v>
                </c:pt>
                <c:pt idx="11">
                  <c:v>33.622533552911129</c:v>
                </c:pt>
                <c:pt idx="12">
                  <c:v>65.305305554692353</c:v>
                </c:pt>
                <c:pt idx="13">
                  <c:v>94.986634731315732</c:v>
                </c:pt>
                <c:pt idx="14">
                  <c:v>122.63926487072743</c:v>
                </c:pt>
                <c:pt idx="15">
                  <c:v>148.26607789233211</c:v>
                </c:pt>
                <c:pt idx="16">
                  <c:v>171.89557439108742</c:v>
                </c:pt>
                <c:pt idx="17">
                  <c:v>193.5773638852441</c:v>
                </c:pt>
                <c:pt idx="18">
                  <c:v>213.37785115798596</c:v>
                </c:pt>
                <c:pt idx="19">
                  <c:v>231.37625068291609</c:v>
                </c:pt>
                <c:pt idx="20">
                  <c:v>247.66101227556692</c:v>
                </c:pt>
                <c:pt idx="21">
                  <c:v>262.32670011340656</c:v>
                </c:pt>
                <c:pt idx="22">
                  <c:v>275.47133494342239</c:v>
                </c:pt>
                <c:pt idx="23">
                  <c:v>287.19418542338684</c:v>
                </c:pt>
                <c:pt idx="24">
                  <c:v>297.5939782318485</c:v>
                </c:pt>
                <c:pt idx="25">
                  <c:v>306.76748660563374</c:v>
                </c:pt>
                <c:pt idx="26">
                  <c:v>314.80845199687508</c:v>
                </c:pt>
                <c:pt idx="27">
                  <c:v>321.80679231931498</c:v>
                </c:pt>
                <c:pt idx="28">
                  <c:v>327.84805166327095</c:v>
                </c:pt>
                <c:pt idx="29">
                  <c:v>333.01304947959994</c:v>
                </c:pt>
                <c:pt idx="30">
                  <c:v>337.3776913428552</c:v>
                </c:pt>
                <c:pt idx="31">
                  <c:v>341.01290796322479</c:v>
                </c:pt>
                <c:pt idx="32">
                  <c:v>343.98469374288675</c:v>
                </c:pt>
                <c:pt idx="33">
                  <c:v>346.35422061039299</c:v>
                </c:pt>
                <c:pt idx="34">
                  <c:v>348.17800696005531</c:v>
                </c:pt>
                <c:pt idx="35">
                  <c:v>349.50812518889256</c:v>
                </c:pt>
                <c:pt idx="36">
                  <c:v>350.39243453101062</c:v>
                </c:pt>
                <c:pt idx="37">
                  <c:v>350.87482864127475</c:v>
                </c:pt>
                <c:pt idx="38">
                  <c:v>350.99548970384819</c:v>
                </c:pt>
                <c:pt idx="39">
                  <c:v>350.7911427742398</c:v>
                </c:pt>
                <c:pt idx="40">
                  <c:v>350.29530565102851</c:v>
                </c:pt>
                <c:pt idx="41">
                  <c:v>349.53853086029483</c:v>
                </c:pt>
                <c:pt idx="42">
                  <c:v>348.54863736692494</c:v>
                </c:pt>
                <c:pt idx="43">
                  <c:v>347.35093044212095</c:v>
                </c:pt>
                <c:pt idx="44">
                  <c:v>345.9684087530045</c:v>
                </c:pt>
                <c:pt idx="45">
                  <c:v>344.42195822948139</c:v>
                </c:pt>
                <c:pt idx="46">
                  <c:v>342.730532633444</c:v>
                </c:pt>
                <c:pt idx="47">
                  <c:v>340.91132102908114</c:v>
                </c:pt>
                <c:pt idx="48">
                  <c:v>338.97990255024808</c:v>
                </c:pt>
                <c:pt idx="49">
                  <c:v>336.95038899738836</c:v>
                </c:pt>
                <c:pt idx="50">
                  <c:v>334.8355558860178</c:v>
                </c:pt>
                <c:pt idx="51">
                  <c:v>332.64696262200403</c:v>
                </c:pt>
                <c:pt idx="52">
                  <c:v>330.39506250406464</c:v>
                </c:pt>
                <c:pt idx="53">
                  <c:v>328.08930325886712</c:v>
                </c:pt>
                <c:pt idx="54">
                  <c:v>325.73821880347458</c:v>
                </c:pt>
                <c:pt idx="55">
                  <c:v>323.34951290863984</c:v>
                </c:pt>
                <c:pt idx="56">
                  <c:v>320.93013540769044</c:v>
                </c:pt>
                <c:pt idx="57">
                  <c:v>318.48635156218597</c:v>
                </c:pt>
                <c:pt idx="58">
                  <c:v>316.02380515911045</c:v>
                </c:pt>
                <c:pt idx="59">
                  <c:v>313.54757587669673</c:v>
                </c:pt>
                <c:pt idx="60">
                  <c:v>311.06223141811233</c:v>
                </c:pt>
                <c:pt idx="61">
                  <c:v>308.57187487500431</c:v>
                </c:pt>
                <c:pt idx="62">
                  <c:v>306.08018774678607</c:v>
                </c:pt>
                <c:pt idx="63">
                  <c:v>303.59046900729771</c:v>
                </c:pt>
                <c:pt idx="64">
                  <c:v>301.1056705776785</c:v>
                </c:pt>
                <c:pt idx="65">
                  <c:v>298.62842953388235</c:v>
                </c:pt>
                <c:pt idx="66">
                  <c:v>296.16109734865648</c:v>
                </c:pt>
                <c:pt idx="67">
                  <c:v>293.70576644125771</c:v>
                </c:pt>
                <c:pt idx="68">
                  <c:v>291.26429428389332</c:v>
                </c:pt>
                <c:pt idx="69">
                  <c:v>288.83832529113556</c:v>
                </c:pt>
                <c:pt idx="70">
                  <c:v>286.42931069807747</c:v>
                </c:pt>
                <c:pt idx="71">
                  <c:v>284.03852661390886</c:v>
                </c:pt>
                <c:pt idx="72">
                  <c:v>281.66709042042953</c:v>
                </c:pt>
                <c:pt idx="73">
                  <c:v>279.31597566919567</c:v>
                </c:pt>
                <c:pt idx="74">
                  <c:v>276.98602561662597</c:v>
                </c:pt>
                <c:pt idx="75">
                  <c:v>274.67796552339803</c:v>
                </c:pt>
                <c:pt idx="76">
                  <c:v>272.39241383257223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33-48E4-B055-26B407FE34ED}"/>
            </c:ext>
          </c:extLst>
        </c:ser>
        <c:ser>
          <c:idx val="1"/>
          <c:order val="1"/>
          <c:tx>
            <c:v>line s</c:v>
          </c:tx>
          <c:spPr>
            <a:ln w="19050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(Sheet1!$L$4,Sheet1!$L$4)</c:f>
              <c:numCache>
                <c:formatCode>General</c:formatCode>
                <c:ptCount val="2"/>
                <c:pt idx="0">
                  <c:v>3.9733333333533238E-2</c:v>
                </c:pt>
                <c:pt idx="1">
                  <c:v>3.9733333333533238E-2</c:v>
                </c:pt>
              </c:numCache>
            </c:numRef>
          </c:xVal>
          <c:yVal>
            <c:numRef>
              <c:f>(Sheet1!$W$4,Sheet1!$W$15)</c:f>
              <c:numCache>
                <c:formatCode>General</c:formatCode>
                <c:ptCount val="2"/>
                <c:pt idx="0">
                  <c:v>0</c:v>
                </c:pt>
                <c:pt idx="1">
                  <c:v>64.930000000000007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52-4799-98A2-6CCA6E6E6633}"/>
            </c:ext>
          </c:extLst>
        </c:ser>
        <c:ser>
          <c:idx val="2"/>
          <c:order val="2"/>
          <c:tx>
            <c:v>T line</c:v>
          </c:tx>
          <c:spPr>
            <a:ln w="1905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(Sheet1!$W$4,Sheet1!$L$4)</c:f>
              <c:numCache>
                <c:formatCode>General</c:formatCode>
                <c:ptCount val="2"/>
                <c:pt idx="0">
                  <c:v>0</c:v>
                </c:pt>
                <c:pt idx="1">
                  <c:v>3.9733333333533238E-2</c:v>
                </c:pt>
              </c:numCache>
            </c:numRef>
          </c:xVal>
          <c:yVal>
            <c:numRef>
              <c:f>(Sheet1!$AA$9,Sheet1!$AA$9)</c:f>
              <c:numCache>
                <c:formatCode>General</c:formatCode>
                <c:ptCount val="2"/>
                <c:pt idx="0">
                  <c:v>64.930000000000007</c:v>
                </c:pt>
                <c:pt idx="1">
                  <c:v>64.930000000000007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52-4799-98A2-6CCA6E6E6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295608"/>
        <c:axId val="383298888"/>
      </c:scatterChart>
      <c:valAx>
        <c:axId val="383295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3298888"/>
        <c:crosses val="autoZero"/>
        <c:crossBetween val="midCat"/>
      </c:valAx>
      <c:valAx>
        <c:axId val="38329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3295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330200</xdr:colOff>
      <xdr:row>9</xdr:row>
      <xdr:rowOff>57150</xdr:rowOff>
    </xdr:from>
    <xdr:to>
      <xdr:col>25</xdr:col>
      <xdr:colOff>355600</xdr:colOff>
      <xdr:row>37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C80643-DFE7-43FE-B8C0-2EFF94FD3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330312</xdr:colOff>
      <xdr:row>14</xdr:row>
      <xdr:rowOff>69848</xdr:rowOff>
    </xdr:from>
    <xdr:to>
      <xdr:col>11</xdr:col>
      <xdr:colOff>205740</xdr:colOff>
      <xdr:row>26</xdr:row>
      <xdr:rowOff>30479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906CC3-F1E6-4F62-BC09-6232C35483E3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2969" t="34568" r="22223" b="15098"/>
        <a:stretch/>
      </xdr:blipFill>
      <xdr:spPr bwMode="auto">
        <a:xfrm>
          <a:off x="330312" y="2934968"/>
          <a:ext cx="4203588" cy="21932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167640</xdr:colOff>
      <xdr:row>9</xdr:row>
      <xdr:rowOff>38100</xdr:rowOff>
    </xdr:from>
    <xdr:to>
      <xdr:col>4</xdr:col>
      <xdr:colOff>548640</xdr:colOff>
      <xdr:row>10</xdr:row>
      <xdr:rowOff>182880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4CF35D7D-927C-47CF-9AFE-53A9B9829851}"/>
            </a:ext>
          </a:extLst>
        </xdr:cNvPr>
        <xdr:cNvCxnSpPr/>
      </xdr:nvCxnSpPr>
      <xdr:spPr>
        <a:xfrm flipH="1" flipV="1">
          <a:off x="3284220" y="2141220"/>
          <a:ext cx="381000" cy="3352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289560</xdr:colOff>
      <xdr:row>11</xdr:row>
      <xdr:rowOff>0</xdr:rowOff>
    </xdr:from>
    <xdr:to>
      <xdr:col>31</xdr:col>
      <xdr:colOff>289560</xdr:colOff>
      <xdr:row>13</xdr:row>
      <xdr:rowOff>144780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FB1D10BE-EB50-F732-E5FC-DF7E0A725CAD}"/>
            </a:ext>
          </a:extLst>
        </xdr:cNvPr>
        <xdr:cNvCxnSpPr/>
      </xdr:nvCxnSpPr>
      <xdr:spPr>
        <a:xfrm>
          <a:off x="12222480" y="2484120"/>
          <a:ext cx="0" cy="335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548640</xdr:colOff>
      <xdr:row>11</xdr:row>
      <xdr:rowOff>0</xdr:rowOff>
    </xdr:from>
    <xdr:to>
      <xdr:col>31</xdr:col>
      <xdr:colOff>281940</xdr:colOff>
      <xdr:row>11</xdr:row>
      <xdr:rowOff>7620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3BC6E6C3-B789-4F01-9863-5FF093D38C56}"/>
            </a:ext>
          </a:extLst>
        </xdr:cNvPr>
        <xdr:cNvCxnSpPr/>
      </xdr:nvCxnSpPr>
      <xdr:spPr>
        <a:xfrm>
          <a:off x="3665220" y="2484120"/>
          <a:ext cx="85496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1507-E7CE-4A3F-8143-AA8CB6D4658A}">
  <dimension ref="A1:AG166"/>
  <sheetViews>
    <sheetView showGridLines="0" showRowColHeaders="0" tabSelected="1" zoomScaleNormal="100" workbookViewId="0">
      <selection activeCell="AF5" sqref="AF5"/>
    </sheetView>
  </sheetViews>
  <sheetFormatPr defaultRowHeight="15" x14ac:dyDescent="0.25"/>
  <cols>
    <col min="2" max="2" width="20.7109375" customWidth="1"/>
    <col min="3" max="3" width="10.7109375" customWidth="1"/>
    <col min="4" max="4" width="5.28515625" customWidth="1"/>
    <col min="5" max="5" width="8.140625" customWidth="1"/>
    <col min="6" max="6" width="24.28515625" hidden="1" customWidth="1"/>
    <col min="7" max="7" width="9.5703125" customWidth="1"/>
    <col min="8" max="8" width="7" hidden="1" customWidth="1"/>
    <col min="9" max="9" width="8.7109375" hidden="1" customWidth="1"/>
    <col min="10" max="11" width="9.7109375" hidden="1" customWidth="1"/>
    <col min="12" max="12" width="13.7109375" customWidth="1"/>
    <col min="13" max="13" width="12.42578125" customWidth="1"/>
    <col min="14" max="14" width="8.7109375" customWidth="1"/>
    <col min="15" max="15" width="6.42578125" customWidth="1"/>
    <col min="16" max="16" width="0" hidden="1" customWidth="1"/>
    <col min="17" max="17" width="2.5703125" customWidth="1"/>
    <col min="18" max="20" width="0" hidden="1" customWidth="1"/>
    <col min="21" max="21" width="6.28515625" customWidth="1"/>
    <col min="22" max="22" width="2.140625" customWidth="1"/>
    <col min="23" max="23" width="8.7109375" customWidth="1"/>
    <col min="24" max="24" width="2.85546875" customWidth="1"/>
    <col min="25" max="25" width="10.7109375" bestFit="1" customWidth="1"/>
    <col min="26" max="26" width="11" customWidth="1"/>
    <col min="27" max="27" width="9.7109375" customWidth="1"/>
    <col min="28" max="28" width="6.28515625" customWidth="1"/>
    <col min="29" max="29" width="2.85546875" customWidth="1"/>
    <col min="30" max="30" width="1.7109375" customWidth="1"/>
    <col min="31" max="31" width="4.7109375" customWidth="1"/>
    <col min="32" max="32" width="8.85546875" customWidth="1"/>
    <col min="33" max="33" width="2.85546875" customWidth="1"/>
  </cols>
  <sheetData>
    <row r="1" spans="2:31" ht="61.5" x14ac:dyDescent="0.9">
      <c r="B1" s="1" t="s">
        <v>13</v>
      </c>
    </row>
    <row r="2" spans="2:31" ht="15.75" thickBot="1" x14ac:dyDescent="0.3">
      <c r="B2" s="6" t="s">
        <v>19</v>
      </c>
      <c r="C2" s="7"/>
      <c r="D2" s="7"/>
      <c r="E2" s="7"/>
      <c r="G2" s="77">
        <f>L6*D12</f>
        <v>48.013333333333335</v>
      </c>
      <c r="M2" s="7" t="s">
        <v>17</v>
      </c>
      <c r="N2" s="15"/>
      <c r="O2" s="7"/>
      <c r="P2" s="7"/>
      <c r="Q2" s="7"/>
      <c r="Y2" s="34"/>
      <c r="Z2" s="34"/>
    </row>
    <row r="3" spans="2:31" ht="15.75" thickBot="1" x14ac:dyDescent="0.3">
      <c r="B3" s="8" t="s">
        <v>85</v>
      </c>
      <c r="C3" s="28">
        <v>233</v>
      </c>
      <c r="D3" s="9" t="s">
        <v>4</v>
      </c>
      <c r="M3" s="41" t="s">
        <v>45</v>
      </c>
      <c r="N3" s="42"/>
      <c r="O3" s="42"/>
      <c r="P3" s="42"/>
      <c r="Q3" s="44"/>
      <c r="R3" s="44"/>
      <c r="S3" s="44"/>
      <c r="T3" s="44"/>
      <c r="U3" s="44"/>
      <c r="V3" s="44"/>
      <c r="W3" s="44"/>
      <c r="X3" s="43">
        <v>2</v>
      </c>
      <c r="Y3" s="5">
        <f>C10-C5</f>
        <v>0.6</v>
      </c>
      <c r="Z3" s="37"/>
      <c r="AA3" s="37"/>
    </row>
    <row r="4" spans="2:31" x14ac:dyDescent="0.25">
      <c r="B4" s="86" t="s">
        <v>23</v>
      </c>
      <c r="C4" s="89">
        <v>50</v>
      </c>
      <c r="D4" s="87" t="s">
        <v>1</v>
      </c>
      <c r="L4" s="65">
        <f>((C4+0.00000000001)-G2)/C4</f>
        <v>3.9733333333533238E-2</v>
      </c>
      <c r="M4" s="40" t="s">
        <v>20</v>
      </c>
      <c r="N4" s="64">
        <f>ROUND(L4,4)</f>
        <v>3.9699999999999999E-2</v>
      </c>
      <c r="O4" s="17"/>
      <c r="P4" s="7"/>
      <c r="Q4" s="7"/>
      <c r="W4" s="2">
        <v>0</v>
      </c>
      <c r="X4" s="2">
        <f>L4*1</f>
        <v>3.9733333333533238E-2</v>
      </c>
      <c r="Z4" s="69" t="s">
        <v>34</v>
      </c>
      <c r="AA4" s="70">
        <f>ROUND(3*W6*W6*F7,X3)</f>
        <v>9788.51</v>
      </c>
      <c r="AB4" s="71" t="s">
        <v>7</v>
      </c>
    </row>
    <row r="5" spans="2:31" ht="15.75" thickBot="1" x14ac:dyDescent="0.3">
      <c r="B5" s="10" t="s">
        <v>24</v>
      </c>
      <c r="C5" s="29">
        <v>0.4</v>
      </c>
      <c r="D5" s="11" t="s">
        <v>2</v>
      </c>
      <c r="G5" t="str">
        <f>IF(Y3&gt;C10,"must be &lt; Rk","")</f>
        <v/>
      </c>
      <c r="M5" s="50" t="s">
        <v>29</v>
      </c>
      <c r="N5" s="51">
        <f>C10-C5</f>
        <v>0.6</v>
      </c>
      <c r="O5" s="52" t="s">
        <v>2</v>
      </c>
      <c r="P5" s="51"/>
      <c r="Q5" s="7"/>
      <c r="S5">
        <f>IMARGUMENT(P6)</f>
        <v>-6.442405761446425E-2</v>
      </c>
      <c r="T5">
        <f>ROUND(S5*180/3.1415,1)</f>
        <v>-3.7</v>
      </c>
      <c r="W5" s="2">
        <v>-0.2</v>
      </c>
      <c r="X5" s="3"/>
      <c r="Z5" s="20" t="s">
        <v>47</v>
      </c>
      <c r="AA5" s="21">
        <f>ROUND(-3*C3*W8*COS(-S8),X3)</f>
        <v>-10507.2</v>
      </c>
      <c r="AB5" s="46" t="s">
        <v>7</v>
      </c>
    </row>
    <row r="6" spans="2:31" ht="15.75" thickBot="1" x14ac:dyDescent="0.3">
      <c r="B6" s="10" t="s">
        <v>48</v>
      </c>
      <c r="C6" s="74">
        <v>1440</v>
      </c>
      <c r="D6" s="12" t="s">
        <v>75</v>
      </c>
      <c r="E6">
        <f>C6/60</f>
        <v>24</v>
      </c>
      <c r="G6" t="s">
        <v>82</v>
      </c>
      <c r="L6" s="91">
        <f>(C6+0.4)/60</f>
        <v>24.006666666666668</v>
      </c>
      <c r="M6" s="53" t="s">
        <v>30</v>
      </c>
      <c r="N6" s="16">
        <f>ROUND(IMABS(P6),X3)</f>
        <v>15</v>
      </c>
      <c r="O6" s="16" t="s">
        <v>14</v>
      </c>
      <c r="P6" s="16" t="str">
        <f>IMDIV(F12,F13)</f>
        <v>14,9693053976766-0,965719823460664j</v>
      </c>
      <c r="Q6" s="61" t="s">
        <v>44</v>
      </c>
      <c r="R6" s="54"/>
      <c r="S6" s="54"/>
      <c r="T6" s="54"/>
      <c r="U6" s="16">
        <f>T5</f>
        <v>-3.7</v>
      </c>
      <c r="V6" s="55" t="s">
        <v>15</v>
      </c>
      <c r="W6" s="2">
        <f>IMABS(P6)</f>
        <v>15.00042395621986</v>
      </c>
      <c r="X6" s="3"/>
      <c r="Z6" s="25" t="s">
        <v>46</v>
      </c>
      <c r="AA6" s="26">
        <f>ROUND(-3*C3*W8*SIN(-S8),X3)</f>
        <v>-1060.98</v>
      </c>
      <c r="AB6" s="47" t="s">
        <v>22</v>
      </c>
    </row>
    <row r="7" spans="2:31" hidden="1" x14ac:dyDescent="0.25">
      <c r="B7" s="10" t="s">
        <v>3</v>
      </c>
      <c r="C7" s="30">
        <f>Y3*(1-L4)/L4</f>
        <v>14.500671140863622</v>
      </c>
      <c r="D7" s="11" t="s">
        <v>2</v>
      </c>
      <c r="F7" t="str">
        <f>COMPLEX(C7,0,"j")</f>
        <v>14,5006711408636</v>
      </c>
      <c r="M7" s="18" t="s">
        <v>31</v>
      </c>
      <c r="N7" s="7"/>
      <c r="O7" s="7"/>
      <c r="P7" s="7" t="str">
        <f>IMDIV(F12,F11)</f>
        <v>-0,552132701421801j</v>
      </c>
      <c r="Q7" s="17"/>
      <c r="V7" s="56"/>
      <c r="W7" s="2"/>
      <c r="X7" s="3"/>
      <c r="Z7" s="18"/>
      <c r="AA7" s="7"/>
      <c r="AB7" s="17"/>
    </row>
    <row r="8" spans="2:31" ht="15.75" thickBot="1" x14ac:dyDescent="0.3">
      <c r="B8" s="13" t="s">
        <v>27</v>
      </c>
      <c r="C8" s="31">
        <v>3731</v>
      </c>
      <c r="D8" s="14" t="s">
        <v>2</v>
      </c>
      <c r="E8" s="32"/>
      <c r="F8" t="str">
        <f>COMPLEX(C10,0,"j")</f>
        <v>1</v>
      </c>
      <c r="K8" s="3" t="str">
        <f>IF(C10&lt;C5,"must &gt; R1","")</f>
        <v/>
      </c>
      <c r="M8" s="19" t="s">
        <v>32</v>
      </c>
      <c r="N8" s="7">
        <f>ROUND(IMABS(P9),X3)</f>
        <v>15.11</v>
      </c>
      <c r="O8" s="7" t="s">
        <v>14</v>
      </c>
      <c r="P8" s="7" t="str">
        <f>IMDIV(F12,F10)</f>
        <v>0,0624497453765746</v>
      </c>
      <c r="Q8" s="62" t="s">
        <v>44</v>
      </c>
      <c r="S8">
        <f>IMARGUMENT(P9)</f>
        <v>-0.10063529173493825</v>
      </c>
      <c r="T8">
        <f>ROUND(S8*180/3.1415,1)</f>
        <v>-5.8</v>
      </c>
      <c r="U8" s="7">
        <f>X8</f>
        <v>174.2</v>
      </c>
      <c r="V8" s="57" t="s">
        <v>15</v>
      </c>
      <c r="W8" s="2">
        <f>IMABS(P9)</f>
        <v>15.108194431102559</v>
      </c>
      <c r="X8" s="2">
        <f>ROUND(T8+180,1)</f>
        <v>174.2</v>
      </c>
      <c r="Z8" s="18" t="s">
        <v>18</v>
      </c>
      <c r="AA8" s="7">
        <f>ROUND(IF(S9&gt;S10,100*T11,100*S11),1)</f>
        <v>93.2</v>
      </c>
      <c r="AB8" s="48" t="s">
        <v>16</v>
      </c>
    </row>
    <row r="9" spans="2:31" ht="15.75" thickBot="1" x14ac:dyDescent="0.3">
      <c r="B9" s="66" t="s">
        <v>28</v>
      </c>
      <c r="C9" s="67">
        <v>422</v>
      </c>
      <c r="D9" s="68" t="s">
        <v>2</v>
      </c>
      <c r="E9" s="32"/>
      <c r="F9" t="str">
        <f>COMPLEX(0,C11,"j")</f>
        <v>j</v>
      </c>
      <c r="M9" s="22" t="s">
        <v>33</v>
      </c>
      <c r="N9" s="58">
        <f>ROUND(IMABS(P9),X3)</f>
        <v>15.11</v>
      </c>
      <c r="O9" s="58" t="s">
        <v>14</v>
      </c>
      <c r="P9" s="58" t="str">
        <f>IMSUM(P6,P8,P7)</f>
        <v>15,0317551430532-1,51785252488247j</v>
      </c>
      <c r="Q9" s="63" t="s">
        <v>44</v>
      </c>
      <c r="R9" s="59"/>
      <c r="S9" s="59">
        <f>ABS(AA4)</f>
        <v>9788.51</v>
      </c>
      <c r="T9" s="59"/>
      <c r="U9" s="58">
        <f>T8</f>
        <v>-5.8</v>
      </c>
      <c r="V9" s="60" t="s">
        <v>15</v>
      </c>
      <c r="X9" s="3"/>
      <c r="Z9" s="36" t="s">
        <v>35</v>
      </c>
      <c r="AA9" s="72">
        <f>ROUND(((AA4)/((L6)*2*3.14)),X3)</f>
        <v>64.930000000000007</v>
      </c>
      <c r="AB9" s="49" t="s">
        <v>36</v>
      </c>
    </row>
    <row r="10" spans="2:31" ht="15.75" thickBot="1" x14ac:dyDescent="0.3">
      <c r="B10" s="13" t="s">
        <v>25</v>
      </c>
      <c r="C10" s="31">
        <v>1</v>
      </c>
      <c r="D10" s="14" t="s">
        <v>2</v>
      </c>
      <c r="E10" s="32"/>
      <c r="F10" t="str">
        <f>COMPLEX(C8,0,"j")</f>
        <v>3731</v>
      </c>
      <c r="P10" s="21"/>
      <c r="Q10" s="45"/>
      <c r="S10">
        <f>ABS(AA5)</f>
        <v>10507.2</v>
      </c>
      <c r="W10" s="2"/>
      <c r="X10" s="3"/>
      <c r="Z10" s="22" t="s">
        <v>21</v>
      </c>
      <c r="AA10" s="23" t="str">
        <f>(IF(AA5&gt;0,"generator","motor"))</f>
        <v>motor</v>
      </c>
    </row>
    <row r="11" spans="2:31" ht="15.75" thickBot="1" x14ac:dyDescent="0.3">
      <c r="B11" s="10" t="s">
        <v>26</v>
      </c>
      <c r="C11" s="29">
        <v>1</v>
      </c>
      <c r="D11" s="11" t="s">
        <v>2</v>
      </c>
      <c r="E11" s="32"/>
      <c r="F11" t="str">
        <f>COMPLEX(0,C9,"j")</f>
        <v>422j</v>
      </c>
      <c r="P11" s="21"/>
      <c r="Q11" s="45"/>
      <c r="S11">
        <f>S9/S10</f>
        <v>0.93160023602862796</v>
      </c>
      <c r="T11">
        <f>S10/S9</f>
        <v>1.0734217975973872</v>
      </c>
      <c r="W11" s="2"/>
      <c r="X11" s="3"/>
      <c r="Y11" s="3"/>
      <c r="Z11" s="3"/>
      <c r="AA11" s="37"/>
    </row>
    <row r="12" spans="2:31" ht="15.75" thickBot="1" x14ac:dyDescent="0.3">
      <c r="B12" s="88" t="s">
        <v>84</v>
      </c>
      <c r="C12" s="99"/>
      <c r="D12" s="90">
        <v>2</v>
      </c>
      <c r="F12" t="str">
        <f>COMPLEX(C3,0,"j")</f>
        <v>233</v>
      </c>
      <c r="P12" s="26"/>
      <c r="Q12" s="45"/>
      <c r="W12" s="2"/>
      <c r="X12" s="3"/>
      <c r="Y12" s="38"/>
      <c r="Z12" s="3"/>
      <c r="AA12" s="37"/>
    </row>
    <row r="13" spans="2:31" ht="15.75" hidden="1" thickBot="1" x14ac:dyDescent="0.3">
      <c r="B13" t="s">
        <v>5</v>
      </c>
      <c r="C13" s="4"/>
      <c r="D13" s="4"/>
      <c r="F13" t="str">
        <f>IMSUM(F7,F8,F9)</f>
        <v>15,5006711408636+j</v>
      </c>
      <c r="P13" s="7"/>
      <c r="Q13" s="7"/>
      <c r="W13" s="2"/>
      <c r="X13" s="3"/>
      <c r="Y13" s="38"/>
      <c r="Z13" s="3"/>
      <c r="AA13" s="37"/>
    </row>
    <row r="14" spans="2:31" ht="15.75" thickBot="1" x14ac:dyDescent="0.3">
      <c r="C14" s="4"/>
      <c r="D14" s="4"/>
      <c r="P14" s="7"/>
      <c r="Q14" s="7"/>
      <c r="W14" s="2"/>
      <c r="X14" s="3"/>
      <c r="Y14" s="38"/>
      <c r="Z14" s="3"/>
      <c r="AA14" s="7" t="s">
        <v>87</v>
      </c>
    </row>
    <row r="15" spans="2:31" ht="15.75" thickBot="1" x14ac:dyDescent="0.3">
      <c r="P15" s="24"/>
      <c r="Q15" s="7"/>
      <c r="W15" s="2">
        <f>AA9*1</f>
        <v>64.930000000000007</v>
      </c>
      <c r="X15" s="3"/>
      <c r="Y15" s="3"/>
      <c r="Z15" s="3"/>
      <c r="AA15" s="78" t="s">
        <v>72</v>
      </c>
      <c r="AB15" s="73"/>
      <c r="AC15" s="84"/>
    </row>
    <row r="16" spans="2:31" ht="15.75" thickBot="1" x14ac:dyDescent="0.3">
      <c r="X16" s="3"/>
      <c r="Y16" s="3"/>
      <c r="Z16" s="3"/>
      <c r="AA16" s="10" t="s">
        <v>76</v>
      </c>
      <c r="AB16" s="74">
        <v>235</v>
      </c>
      <c r="AC16" s="12" t="s">
        <v>4</v>
      </c>
      <c r="AE16" s="7" t="s">
        <v>17</v>
      </c>
    </row>
    <row r="17" spans="1:33" x14ac:dyDescent="0.25">
      <c r="X17" s="3"/>
      <c r="Y17" s="3"/>
      <c r="Z17" s="3"/>
      <c r="AA17" s="10" t="s">
        <v>77</v>
      </c>
      <c r="AB17" s="74">
        <v>0.56000000000000005</v>
      </c>
      <c r="AC17" s="12" t="s">
        <v>14</v>
      </c>
      <c r="AE17" s="53" t="s">
        <v>61</v>
      </c>
      <c r="AF17" s="96">
        <f>AB16*AB16/AB18</f>
        <v>3731.4189189189187</v>
      </c>
      <c r="AG17" s="79" t="s">
        <v>62</v>
      </c>
    </row>
    <row r="18" spans="1:33" ht="15.75" thickBot="1" x14ac:dyDescent="0.3">
      <c r="AA18" s="10" t="s">
        <v>78</v>
      </c>
      <c r="AB18" s="74">
        <v>14.8</v>
      </c>
      <c r="AC18" s="12" t="s">
        <v>7</v>
      </c>
      <c r="AE18" s="22" t="s">
        <v>83</v>
      </c>
      <c r="AF18" s="97">
        <f>AB16*AB16/J49</f>
        <v>422.32205746877736</v>
      </c>
      <c r="AG18" s="80" t="s">
        <v>62</v>
      </c>
    </row>
    <row r="19" spans="1:33" x14ac:dyDescent="0.25">
      <c r="AA19" s="10" t="s">
        <v>71</v>
      </c>
      <c r="AB19" s="74"/>
      <c r="AC19" s="12"/>
      <c r="AF19" s="98"/>
    </row>
    <row r="20" spans="1:33" ht="15.75" thickBot="1" x14ac:dyDescent="0.3">
      <c r="AA20" s="10" t="s">
        <v>79</v>
      </c>
      <c r="AB20" s="74">
        <v>233</v>
      </c>
      <c r="AC20" s="12" t="s">
        <v>4</v>
      </c>
      <c r="AE20" s="7" t="s">
        <v>17</v>
      </c>
      <c r="AF20" s="98"/>
    </row>
    <row r="21" spans="1:33" x14ac:dyDescent="0.25">
      <c r="AA21" s="10" t="s">
        <v>80</v>
      </c>
      <c r="AB21" s="74">
        <v>2.5</v>
      </c>
      <c r="AC21" s="12" t="s">
        <v>14</v>
      </c>
      <c r="AE21" s="53" t="s">
        <v>63</v>
      </c>
      <c r="AF21" s="96">
        <f>J59/(J58*J58)</f>
        <v>70.78028412218336</v>
      </c>
      <c r="AG21" s="79" t="s">
        <v>62</v>
      </c>
    </row>
    <row r="22" spans="1:33" ht="15.75" thickBo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AA22" s="66" t="s">
        <v>81</v>
      </c>
      <c r="AB22" s="75">
        <v>300</v>
      </c>
      <c r="AC22" s="76" t="s">
        <v>7</v>
      </c>
      <c r="AE22" s="22" t="s">
        <v>64</v>
      </c>
      <c r="AF22" s="97">
        <f>J60/(J58*J58)</f>
        <v>91.932755267422408</v>
      </c>
      <c r="AG22" s="80" t="s">
        <v>62</v>
      </c>
    </row>
    <row r="23" spans="1:33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33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33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AA25" s="82"/>
      <c r="AB25" s="83"/>
      <c r="AC25" s="82"/>
    </row>
    <row r="26" spans="1:33" x14ac:dyDescent="0.25">
      <c r="A26" s="34"/>
      <c r="B26" s="35" t="s">
        <v>15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AA26" s="82"/>
      <c r="AB26" s="83"/>
      <c r="AC26" s="82"/>
    </row>
    <row r="27" spans="1:33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AA27" s="81"/>
      <c r="AB27" s="81"/>
      <c r="AC27" s="81"/>
    </row>
    <row r="28" spans="1:33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33" x14ac:dyDescent="0.25">
      <c r="A29" s="34"/>
      <c r="B29" s="34"/>
      <c r="C29" s="2">
        <f>Y3</f>
        <v>0.6</v>
      </c>
      <c r="D29" s="34"/>
      <c r="E29" s="35"/>
      <c r="F29" s="34"/>
      <c r="G29" s="34"/>
      <c r="H29" s="34"/>
      <c r="I29" s="34"/>
      <c r="J29" s="34"/>
      <c r="K29" s="34"/>
      <c r="L29" s="34"/>
      <c r="M29" s="34"/>
    </row>
    <row r="30" spans="1:33" x14ac:dyDescent="0.25">
      <c r="A30" s="34"/>
      <c r="B30" s="34"/>
      <c r="C30" s="2">
        <f>C4</f>
        <v>50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33" x14ac:dyDescent="0.25">
      <c r="A31" s="34"/>
      <c r="B31" s="34"/>
      <c r="C31" s="2">
        <f>C10</f>
        <v>1</v>
      </c>
      <c r="D31" s="34"/>
      <c r="E31" s="35"/>
      <c r="F31" s="34" t="str">
        <f>COMPLEX(C31,0,"j")</f>
        <v>1</v>
      </c>
      <c r="G31" s="34"/>
      <c r="H31" s="34"/>
      <c r="I31" s="34"/>
      <c r="J31" s="34"/>
      <c r="K31" s="34"/>
      <c r="L31" s="34"/>
      <c r="M31" s="34"/>
    </row>
    <row r="32" spans="1:33" x14ac:dyDescent="0.25">
      <c r="A32" s="34"/>
      <c r="B32" s="34"/>
      <c r="C32" s="2">
        <f>C11</f>
        <v>1</v>
      </c>
      <c r="D32" s="34"/>
      <c r="E32" s="35"/>
      <c r="F32" s="34" t="str">
        <f>COMPLEX(0,C32,"j")</f>
        <v>j</v>
      </c>
      <c r="G32" s="34"/>
      <c r="H32" s="34"/>
      <c r="I32" s="34"/>
      <c r="J32" s="34"/>
      <c r="K32" s="34"/>
      <c r="L32" s="34"/>
      <c r="M32" s="34"/>
    </row>
    <row r="33" spans="1:24" x14ac:dyDescent="0.25">
      <c r="A33" s="34"/>
      <c r="B33" s="34"/>
      <c r="C33" s="2">
        <f>C8</f>
        <v>3731</v>
      </c>
      <c r="D33" s="34"/>
      <c r="E33" s="35"/>
      <c r="F33" s="34" t="str">
        <f>COMPLEX(C33,0,"j")</f>
        <v>3731</v>
      </c>
      <c r="G33" s="34"/>
      <c r="H33" s="34"/>
      <c r="I33" s="34"/>
      <c r="J33" s="34"/>
      <c r="K33" s="34"/>
      <c r="L33" s="34"/>
      <c r="M33" s="34"/>
    </row>
    <row r="34" spans="1:24" x14ac:dyDescent="0.25">
      <c r="A34" s="34"/>
      <c r="B34" s="34"/>
      <c r="C34" s="2">
        <f>C9</f>
        <v>422</v>
      </c>
      <c r="D34" s="34"/>
      <c r="E34" s="35"/>
      <c r="F34" s="34" t="str">
        <f>COMPLEX(0,C34,"j")</f>
        <v>422j</v>
      </c>
      <c r="G34" s="34"/>
      <c r="H34" s="34"/>
      <c r="I34" s="34"/>
      <c r="J34" s="34"/>
      <c r="K34" s="34"/>
      <c r="L34" s="34"/>
      <c r="M34" s="34"/>
    </row>
    <row r="35" spans="1:24" x14ac:dyDescent="0.25">
      <c r="A35" s="34"/>
      <c r="B35" s="34"/>
      <c r="C35" s="2">
        <f>C3</f>
        <v>233</v>
      </c>
      <c r="D35" s="34"/>
      <c r="E35" s="35"/>
      <c r="F35" s="34" t="str">
        <f>COMPLEX(C35,0,"j")</f>
        <v>233</v>
      </c>
      <c r="G35" s="34"/>
      <c r="H35" s="34"/>
      <c r="I35" s="34"/>
      <c r="J35" s="34"/>
      <c r="K35" s="34"/>
      <c r="L35" s="34"/>
      <c r="M35" s="34"/>
    </row>
    <row r="36" spans="1:24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24" x14ac:dyDescent="0.25">
      <c r="B37" s="32" t="s">
        <v>86</v>
      </c>
    </row>
    <row r="38" spans="1:24" x14ac:dyDescent="0.25">
      <c r="B38" s="32" t="s">
        <v>37</v>
      </c>
      <c r="F38" t="str">
        <f>IMDIV(F35,F33)</f>
        <v>0,0624497453765746</v>
      </c>
    </row>
    <row r="39" spans="1:24" x14ac:dyDescent="0.25">
      <c r="B39" s="33" t="s">
        <v>38</v>
      </c>
      <c r="F39" t="str">
        <f>IMDIV(F35,F34)</f>
        <v>-0,552132701421801j</v>
      </c>
    </row>
    <row r="40" spans="1:24" x14ac:dyDescent="0.25">
      <c r="B40" s="33" t="s">
        <v>39</v>
      </c>
    </row>
    <row r="41" spans="1:24" x14ac:dyDescent="0.25"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x14ac:dyDescent="0.25">
      <c r="Q42" s="27"/>
      <c r="R42" s="27"/>
      <c r="S42" s="27"/>
      <c r="T42" s="27"/>
      <c r="U42" s="27"/>
      <c r="V42" s="27"/>
      <c r="W42" s="27"/>
      <c r="X42" s="27"/>
    </row>
    <row r="43" spans="1:24" x14ac:dyDescent="0.25">
      <c r="Q43" s="27"/>
      <c r="R43" s="27"/>
      <c r="S43" s="27"/>
      <c r="T43" s="27"/>
      <c r="U43" s="27"/>
      <c r="V43" s="27"/>
      <c r="W43" s="27"/>
      <c r="X43" s="27"/>
    </row>
    <row r="44" spans="1:24" x14ac:dyDescent="0.25">
      <c r="Q44" s="27"/>
      <c r="R44" s="27"/>
      <c r="S44" s="27"/>
      <c r="T44" s="27"/>
      <c r="U44" s="27"/>
      <c r="V44" s="27"/>
      <c r="W44" s="27"/>
      <c r="X44" s="27"/>
    </row>
    <row r="45" spans="1:24" x14ac:dyDescent="0.25">
      <c r="Q45" s="27"/>
      <c r="R45" s="27"/>
      <c r="S45" s="27"/>
      <c r="T45" s="27"/>
      <c r="U45" s="27"/>
      <c r="V45" s="27"/>
      <c r="W45" s="27"/>
      <c r="X45" s="27"/>
    </row>
    <row r="46" spans="1:24" x14ac:dyDescent="0.25">
      <c r="Q46" s="27"/>
      <c r="R46" s="27"/>
      <c r="S46" s="27"/>
      <c r="T46" s="27"/>
      <c r="U46" s="27"/>
      <c r="V46" s="27"/>
      <c r="W46" s="27"/>
      <c r="X46" s="27"/>
    </row>
    <row r="47" spans="1:24" x14ac:dyDescent="0.25">
      <c r="Q47" s="27"/>
      <c r="R47" s="27"/>
      <c r="S47" s="27"/>
      <c r="T47" s="27"/>
      <c r="U47" s="27"/>
      <c r="V47" s="27"/>
      <c r="W47" s="27"/>
      <c r="X47" s="27"/>
    </row>
    <row r="48" spans="1:24" x14ac:dyDescent="0.25">
      <c r="Q48" s="27"/>
      <c r="R48" s="27"/>
      <c r="S48" s="27"/>
      <c r="T48" s="27"/>
      <c r="U48" s="27"/>
      <c r="V48" s="27"/>
      <c r="W48" s="27"/>
      <c r="X48" s="27"/>
    </row>
    <row r="49" spans="2:26" x14ac:dyDescent="0.25">
      <c r="F49" t="s">
        <v>40</v>
      </c>
      <c r="G49" s="2" t="str">
        <f>COMPLEX(AB16,0)</f>
        <v>235</v>
      </c>
      <c r="H49" s="2"/>
      <c r="I49" s="2" t="s">
        <v>49</v>
      </c>
      <c r="J49" s="2">
        <f>SQRT((AB16*AB16*AB17*AB17)-(AB18*AB18))</f>
        <v>130.76513296746958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7"/>
      <c r="X49" s="27"/>
    </row>
    <row r="50" spans="2:26" x14ac:dyDescent="0.25">
      <c r="G50" s="2"/>
      <c r="H50" s="2"/>
      <c r="I50" s="85" t="s">
        <v>50</v>
      </c>
      <c r="J50" s="2">
        <f>ACOS(AB18/(AB16*AB17))</f>
        <v>1.4580958968878832</v>
      </c>
      <c r="K50" s="2">
        <f>J50*(180/3.1415)</f>
        <v>83.545204978455814</v>
      </c>
      <c r="L50" s="2" t="s">
        <v>51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7"/>
      <c r="X50" s="27"/>
    </row>
    <row r="51" spans="2:26" x14ac:dyDescent="0.25">
      <c r="B51" s="39"/>
      <c r="C51" s="39"/>
      <c r="D51" s="39"/>
      <c r="E51" s="39"/>
      <c r="F51" s="39"/>
      <c r="G51" s="39"/>
      <c r="H51" s="39"/>
      <c r="I51" s="39" t="s">
        <v>73</v>
      </c>
      <c r="J51" s="39">
        <f>AB17*COS(J50)</f>
        <v>6.2978723404255324E-2</v>
      </c>
      <c r="K51" s="39">
        <f>AB17*SIN(J50)</f>
        <v>0.55644737432965785</v>
      </c>
      <c r="L51" s="39" t="s">
        <v>52</v>
      </c>
      <c r="M51" s="39" t="str">
        <f>COMPLEX(J51,-K51)</f>
        <v>0,0629787234042553-0,556447374329658i</v>
      </c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2:26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2:26" hidden="1" x14ac:dyDescent="0.25">
      <c r="B53" s="39"/>
      <c r="C53" s="39"/>
      <c r="D53" s="39"/>
      <c r="E53" s="39"/>
      <c r="F53" s="39" t="s">
        <v>53</v>
      </c>
      <c r="G53" s="39">
        <f>AB16</f>
        <v>235</v>
      </c>
      <c r="H53" s="39"/>
      <c r="I53" s="39" t="s">
        <v>54</v>
      </c>
      <c r="J53" s="39">
        <f>SQRT((AB16*AB16*G54*G54)-(G55*G55))</f>
        <v>507.9143296085544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2:26" hidden="1" x14ac:dyDescent="0.25">
      <c r="B54" s="39"/>
      <c r="C54" s="39"/>
      <c r="D54" s="39"/>
      <c r="E54" s="39">
        <f>AB26+0.001</f>
        <v>1E-3</v>
      </c>
      <c r="F54" s="39" t="s">
        <v>55</v>
      </c>
      <c r="G54" s="39">
        <f>AB21*(AB16/AB20)</f>
        <v>2.5214592274678109</v>
      </c>
      <c r="H54" s="39"/>
      <c r="I54" s="92" t="s">
        <v>56</v>
      </c>
      <c r="J54" s="39">
        <f>ACOS(G55/(G53*G54))</f>
        <v>1.0297636429739914</v>
      </c>
      <c r="K54" s="39">
        <f>J54*(180/3.1415)</f>
        <v>59.002850783166778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2:26" hidden="1" x14ac:dyDescent="0.25">
      <c r="B55" s="39"/>
      <c r="C55" s="39"/>
      <c r="D55" s="39"/>
      <c r="E55" s="39"/>
      <c r="F55" s="39" t="s">
        <v>57</v>
      </c>
      <c r="G55" s="39">
        <f>AB22*(AB16/AB20)*(AB16/AB20)</f>
        <v>305.17231851756338</v>
      </c>
      <c r="H55" s="39"/>
      <c r="I55" s="39" t="s">
        <v>74</v>
      </c>
      <c r="J55" s="39">
        <f>G54*COS(J54)</f>
        <v>1.2986056107130359</v>
      </c>
      <c r="K55" s="39">
        <f>G54*SIN(J54)</f>
        <v>2.1613375728023589</v>
      </c>
      <c r="L55" s="39" t="s">
        <v>52</v>
      </c>
      <c r="M55" s="39" t="str">
        <f>COMPLEX(J55,-K55)</f>
        <v>1,29860561071304-2,16133757280236i</v>
      </c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2:26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2:26" x14ac:dyDescent="0.25">
      <c r="B57" s="39"/>
      <c r="C57" s="39"/>
      <c r="D57" s="39"/>
      <c r="E57" s="39"/>
      <c r="F57" s="39"/>
      <c r="G57" s="39"/>
      <c r="H57" s="39"/>
      <c r="I57" s="39" t="s">
        <v>58</v>
      </c>
      <c r="J57" s="39" t="str">
        <f>IMSUB(M55,M51)</f>
        <v>1,23562688730878-1,6048901984727i</v>
      </c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2:26" x14ac:dyDescent="0.25">
      <c r="B58" s="39"/>
      <c r="C58" s="39"/>
      <c r="D58" s="39"/>
      <c r="E58" s="39"/>
      <c r="F58" s="39"/>
      <c r="G58" s="39"/>
      <c r="H58" s="39"/>
      <c r="I58" s="39"/>
      <c r="J58" s="39">
        <f>IMABS(J57)</f>
        <v>2.0254496670601632</v>
      </c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2:26" x14ac:dyDescent="0.25">
      <c r="B59" s="39"/>
      <c r="C59" s="39"/>
      <c r="D59" s="39"/>
      <c r="E59" s="39"/>
      <c r="F59" s="39"/>
      <c r="G59" s="39"/>
      <c r="H59" s="39"/>
      <c r="I59" s="39" t="s">
        <v>59</v>
      </c>
      <c r="J59" s="39">
        <f>G55-AB18</f>
        <v>290.37231851756337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2:26" x14ac:dyDescent="0.25">
      <c r="B60" s="39"/>
      <c r="C60" s="39"/>
      <c r="D60" s="39"/>
      <c r="E60" s="39"/>
      <c r="F60" s="39"/>
      <c r="G60" s="39"/>
      <c r="H60" s="39"/>
      <c r="I60" s="39" t="s">
        <v>60</v>
      </c>
      <c r="J60" s="39">
        <f>J53-J49</f>
        <v>377.14919664108481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2:26" x14ac:dyDescent="0.25">
      <c r="B61" s="93"/>
      <c r="C61" s="94"/>
      <c r="D61" s="95"/>
      <c r="E61" s="39"/>
      <c r="F61" s="39" t="s">
        <v>65</v>
      </c>
      <c r="G61" s="39">
        <f>AF21+C63</f>
        <v>70.78028412218336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2:26" x14ac:dyDescent="0.25">
      <c r="B62" s="93"/>
      <c r="C62" s="94"/>
      <c r="D62" s="93"/>
      <c r="E62" s="39"/>
      <c r="F62" s="39" t="s">
        <v>66</v>
      </c>
      <c r="G62" s="39" t="str">
        <f>COMPLEX(G61,AF22)</f>
        <v>70,7802841221834+91,9327552674224i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2:26" x14ac:dyDescent="0.25">
      <c r="B63" s="93"/>
      <c r="C63" s="94"/>
      <c r="D63" s="95"/>
      <c r="E63" s="39"/>
      <c r="F63" s="39" t="s">
        <v>67</v>
      </c>
      <c r="G63" s="39" t="str">
        <f>IMDIV(G49,G62)</f>
        <v>1,23562688730878-1,6048901984727i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2:26" x14ac:dyDescent="0.25">
      <c r="B64" s="93"/>
      <c r="C64" s="94"/>
      <c r="D64" s="95"/>
      <c r="E64" s="39"/>
      <c r="F64" s="39" t="s">
        <v>68</v>
      </c>
      <c r="G64" s="39">
        <f>IMABS(G63)</f>
        <v>2.0254496670601632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7" x14ac:dyDescent="0.25">
      <c r="B65" s="93"/>
      <c r="C65" s="94"/>
      <c r="D65" s="95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7" x14ac:dyDescent="0.25">
      <c r="B66" s="93"/>
      <c r="C66" s="94"/>
      <c r="D66" s="95"/>
      <c r="E66" s="39"/>
      <c r="F66" s="39" t="s">
        <v>69</v>
      </c>
      <c r="G66" s="39" t="str">
        <f>IMSUM(G63,M51)</f>
        <v>1,29860561071304-2,16133757280236i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7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7" x14ac:dyDescent="0.25">
      <c r="B68" s="39"/>
      <c r="C68" s="39"/>
      <c r="D68" s="39"/>
      <c r="E68" s="39"/>
      <c r="F68" s="39" t="s">
        <v>70</v>
      </c>
      <c r="G68" s="39">
        <f>IMARGUMENT(G66)</f>
        <v>-1.0297636429739903</v>
      </c>
      <c r="H68" s="39">
        <f>G68*180/3.1415</f>
        <v>-59.002850783166714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7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7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7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7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7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7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7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7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7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7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7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7" x14ac:dyDescent="0.25">
      <c r="A80" s="3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"/>
    </row>
    <row r="81" spans="1:31" x14ac:dyDescent="0.25">
      <c r="A81" s="3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"/>
      <c r="AB81" s="34"/>
      <c r="AC81" s="34"/>
      <c r="AD81" s="34"/>
      <c r="AE81" s="34"/>
    </row>
    <row r="82" spans="1:31" x14ac:dyDescent="0.25">
      <c r="A82" s="3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"/>
      <c r="AB82" s="34"/>
      <c r="AC82" s="34"/>
      <c r="AD82" s="34"/>
      <c r="AE82" s="34"/>
    </row>
    <row r="83" spans="1:31" x14ac:dyDescent="0.25">
      <c r="A83" s="3"/>
      <c r="B83" s="39" t="s">
        <v>0</v>
      </c>
      <c r="C83" s="39" t="s">
        <v>3</v>
      </c>
      <c r="D83" s="39" t="s">
        <v>40</v>
      </c>
      <c r="E83" s="39" t="s">
        <v>41</v>
      </c>
      <c r="F83" s="39" t="s">
        <v>42</v>
      </c>
      <c r="G83" s="39" t="s">
        <v>9</v>
      </c>
      <c r="H83" s="39" t="s">
        <v>43</v>
      </c>
      <c r="I83" s="39" t="s">
        <v>10</v>
      </c>
      <c r="J83" s="39" t="s">
        <v>11</v>
      </c>
      <c r="K83" s="39" t="s">
        <v>6</v>
      </c>
      <c r="L83" s="39"/>
      <c r="M83" s="39" t="s">
        <v>8</v>
      </c>
      <c r="N83" s="39" t="s">
        <v>12</v>
      </c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"/>
      <c r="AB83" s="34"/>
      <c r="AC83" s="34"/>
      <c r="AD83" s="34"/>
      <c r="AE83" s="34"/>
    </row>
    <row r="84" spans="1:31" x14ac:dyDescent="0.25">
      <c r="A84" s="3"/>
      <c r="B84" s="39">
        <v>-0.2</v>
      </c>
      <c r="C84" s="39">
        <f t="shared" ref="C84:C115" si="0">$C$29*(1-B84)/B84</f>
        <v>-3.5999999999999996</v>
      </c>
      <c r="D84" s="39" t="str">
        <f>COMPLEX(C84,0)</f>
        <v>-3,6</v>
      </c>
      <c r="E84" s="39" t="str">
        <f t="shared" ref="E84:E115" si="1">IMSUM(D84,$F$31,$F$32)</f>
        <v>-2,6+j</v>
      </c>
      <c r="F84" s="39" t="str">
        <f>IMDIV($F$35,E84)</f>
        <v>-78,0670103092783-30,0257731958763j</v>
      </c>
      <c r="G84" s="39">
        <f>IMABS(F84)</f>
        <v>83.642125478966449</v>
      </c>
      <c r="H84" s="39" t="str">
        <f t="shared" ref="H84:H115" si="2">IMSUM(F84,$F$38,$F$39)</f>
        <v>-78,0045605639017-30,5779058972981j</v>
      </c>
      <c r="I84" s="39">
        <f>IMABS(H84)</f>
        <v>83.783768104755396</v>
      </c>
      <c r="J84" s="39">
        <f>IMARGUMENT(H84)</f>
        <v>-2.7680004825770106</v>
      </c>
      <c r="K84" s="39">
        <f>3*G84*G84*C84</f>
        <v>-75556.855670103017</v>
      </c>
      <c r="L84" s="39"/>
      <c r="M84" s="39">
        <f t="shared" ref="M84:M115" si="3">-3*$C$35*I84*COS(-J84)</f>
        <v>54525.187834167285</v>
      </c>
      <c r="N84" s="39">
        <f t="shared" ref="N84:N115" si="4">K84/(3.1415*$C$30*(1-B84))</f>
        <v>-400.85339100272171</v>
      </c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"/>
      <c r="AB84" s="34"/>
      <c r="AC84" s="34"/>
      <c r="AD84" s="34"/>
      <c r="AE84" s="34"/>
    </row>
    <row r="85" spans="1:31" x14ac:dyDescent="0.25">
      <c r="A85" s="3"/>
      <c r="B85" s="39">
        <f>B84+0.02</f>
        <v>-0.18000000000000002</v>
      </c>
      <c r="C85" s="39">
        <f t="shared" si="0"/>
        <v>-3.9333333333333327</v>
      </c>
      <c r="D85" s="39" t="str">
        <f t="shared" ref="D85:D148" si="5">COMPLEX(C85,0)</f>
        <v>-3,93333333333333</v>
      </c>
      <c r="E85" s="39" t="str">
        <f t="shared" si="1"/>
        <v>-2,93333333333333+j</v>
      </c>
      <c r="F85" s="39" t="str">
        <f t="shared" ref="F85:F148" si="6">IMDIV($F$35,E85)</f>
        <v>-71,161499305877-24,2596020360944j</v>
      </c>
      <c r="G85" s="39">
        <f t="shared" ref="G85:G148" si="7">IMABS(F85)</f>
        <v>75.183025174636384</v>
      </c>
      <c r="H85" s="39" t="str">
        <f t="shared" si="2"/>
        <v>-71,0990495605004-24,8117347375162j</v>
      </c>
      <c r="I85" s="39">
        <f t="shared" ref="I85:I148" si="8">IMABS(H85)</f>
        <v>75.304030629783441</v>
      </c>
      <c r="J85" s="39">
        <f t="shared" ref="J85:J113" si="9">IMARGUMENT(H85)</f>
        <v>-2.8058319693581959</v>
      </c>
      <c r="K85" s="39">
        <f t="shared" ref="K85:K113" si="10">3*G85*G85*C85</f>
        <v>-66699.349838038077</v>
      </c>
      <c r="L85" s="39"/>
      <c r="M85" s="39">
        <f t="shared" si="3"/>
        <v>49698.23564278979</v>
      </c>
      <c r="N85" s="39">
        <f t="shared" si="4"/>
        <v>-359.85912935922369</v>
      </c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"/>
      <c r="AB85" s="34"/>
      <c r="AC85" s="34"/>
      <c r="AD85" s="34"/>
      <c r="AE85" s="34"/>
    </row>
    <row r="86" spans="1:31" x14ac:dyDescent="0.25">
      <c r="A86" s="3"/>
      <c r="B86" s="39">
        <f t="shared" ref="B86:B113" si="11">B85+0.02</f>
        <v>-0.16000000000000003</v>
      </c>
      <c r="C86" s="39">
        <f t="shared" si="0"/>
        <v>-4.3499999999999996</v>
      </c>
      <c r="D86" s="39" t="str">
        <f t="shared" si="5"/>
        <v>-4,35</v>
      </c>
      <c r="E86" s="39" t="str">
        <f t="shared" si="1"/>
        <v>-3,35+j</v>
      </c>
      <c r="F86" s="39" t="str">
        <f t="shared" si="6"/>
        <v>-63,8617304152178-19,0632031090203j</v>
      </c>
      <c r="G86" s="39">
        <f t="shared" si="7"/>
        <v>66.646277648505745</v>
      </c>
      <c r="H86" s="39" t="str">
        <f t="shared" si="2"/>
        <v>-63,7992806698412-19,6153358104421j</v>
      </c>
      <c r="I86" s="39">
        <f t="shared" si="8"/>
        <v>66.746607501397293</v>
      </c>
      <c r="J86" s="39">
        <f t="shared" si="9"/>
        <v>-2.8433115517184167</v>
      </c>
      <c r="K86" s="39">
        <f t="shared" si="10"/>
        <v>-57964.52853344239</v>
      </c>
      <c r="L86" s="39"/>
      <c r="M86" s="39">
        <f t="shared" si="3"/>
        <v>44595.697188218997</v>
      </c>
      <c r="N86" s="39">
        <f t="shared" si="4"/>
        <v>-318.12459748221733</v>
      </c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"/>
      <c r="AB86" s="34"/>
      <c r="AC86" s="34"/>
      <c r="AD86" s="34"/>
      <c r="AE86" s="34"/>
    </row>
    <row r="87" spans="1:31" x14ac:dyDescent="0.25">
      <c r="A87" s="3"/>
      <c r="B87" s="39">
        <f t="shared" si="11"/>
        <v>-0.14000000000000004</v>
      </c>
      <c r="C87" s="39">
        <f t="shared" si="0"/>
        <v>-4.8857142857142843</v>
      </c>
      <c r="D87" s="39" t="str">
        <f t="shared" si="5"/>
        <v>-4,88571428571428</v>
      </c>
      <c r="E87" s="39" t="str">
        <f t="shared" si="1"/>
        <v>-3,88571428571428+j</v>
      </c>
      <c r="F87" s="39" t="str">
        <f t="shared" si="6"/>
        <v>-56,2385274580397-14,4731504487602j</v>
      </c>
      <c r="G87" s="39">
        <f t="shared" si="7"/>
        <v>58.071025947206522</v>
      </c>
      <c r="H87" s="39" t="str">
        <f t="shared" si="2"/>
        <v>-56,1760777126631-15,025283150182j</v>
      </c>
      <c r="I87" s="39">
        <f t="shared" si="8"/>
        <v>58.150759590243588</v>
      </c>
      <c r="J87" s="39">
        <f t="shared" si="9"/>
        <v>-2.8802426107380379</v>
      </c>
      <c r="K87" s="39">
        <f t="shared" si="10"/>
        <v>-49427.462856853163</v>
      </c>
      <c r="L87" s="39"/>
      <c r="M87" s="39">
        <f t="shared" si="3"/>
        <v>39267.078321151501</v>
      </c>
      <c r="N87" s="39">
        <f t="shared" si="4"/>
        <v>-276.0300719951814</v>
      </c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"/>
      <c r="AB87" s="34"/>
      <c r="AC87" s="34"/>
      <c r="AD87" s="34"/>
      <c r="AE87" s="34"/>
    </row>
    <row r="88" spans="1:31" x14ac:dyDescent="0.25">
      <c r="A88" s="3"/>
      <c r="B88" s="39">
        <f t="shared" si="11"/>
        <v>-0.12000000000000004</v>
      </c>
      <c r="C88" s="39">
        <f t="shared" si="0"/>
        <v>-5.5999999999999988</v>
      </c>
      <c r="D88" s="39" t="str">
        <f t="shared" si="5"/>
        <v>-5,6</v>
      </c>
      <c r="E88" s="39" t="str">
        <f t="shared" si="1"/>
        <v>-4,6+j</v>
      </c>
      <c r="F88" s="39" t="str">
        <f t="shared" si="6"/>
        <v>-48,3664259927798-10,514440433213j</v>
      </c>
      <c r="G88" s="39">
        <f t="shared" si="7"/>
        <v>49.496107129133193</v>
      </c>
      <c r="H88" s="39" t="str">
        <f t="shared" si="2"/>
        <v>-48,3039762474032-11,0665731346348j</v>
      </c>
      <c r="I88" s="39">
        <f t="shared" si="8"/>
        <v>49.555455423736277</v>
      </c>
      <c r="J88" s="39">
        <f t="shared" si="9"/>
        <v>-2.9163766156172861</v>
      </c>
      <c r="K88" s="39">
        <f t="shared" si="10"/>
        <v>-41157.725631768975</v>
      </c>
      <c r="L88" s="39"/>
      <c r="M88" s="39">
        <f t="shared" si="3"/>
        <v>33764.479396934832</v>
      </c>
      <c r="N88" s="39">
        <f t="shared" si="4"/>
        <v>-233.9517384311917</v>
      </c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"/>
      <c r="AB88" s="34"/>
      <c r="AC88" s="34"/>
      <c r="AD88" s="34"/>
      <c r="AE88" s="34"/>
    </row>
    <row r="89" spans="1:31" x14ac:dyDescent="0.25">
      <c r="A89" s="3"/>
      <c r="B89" s="39">
        <f t="shared" si="11"/>
        <v>-0.10000000000000003</v>
      </c>
      <c r="C89" s="39">
        <f t="shared" si="0"/>
        <v>-6.5999999999999979</v>
      </c>
      <c r="D89" s="39" t="str">
        <f t="shared" si="5"/>
        <v>-6,6</v>
      </c>
      <c r="E89" s="39" t="str">
        <f t="shared" si="1"/>
        <v>-5,6+j</v>
      </c>
      <c r="F89" s="39" t="str">
        <f t="shared" si="6"/>
        <v>-40,3213844252163-7,20024721878863j</v>
      </c>
      <c r="G89" s="39">
        <f t="shared" si="7"/>
        <v>40.959218766692189</v>
      </c>
      <c r="H89" s="39" t="str">
        <f t="shared" si="2"/>
        <v>-40,2589346798397-7,75237992021043j</v>
      </c>
      <c r="I89" s="39">
        <f t="shared" si="8"/>
        <v>40.99855138883423</v>
      </c>
      <c r="J89" s="39">
        <f t="shared" si="9"/>
        <v>-2.9513582063451582</v>
      </c>
      <c r="K89" s="39">
        <f t="shared" si="10"/>
        <v>-33217.620519159427</v>
      </c>
      <c r="L89" s="39"/>
      <c r="M89" s="39">
        <f t="shared" si="3"/>
        <v>28140.995341207945</v>
      </c>
      <c r="N89" s="39">
        <f t="shared" si="4"/>
        <v>-192.25107009772069</v>
      </c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"/>
      <c r="AB89" s="34"/>
      <c r="AC89" s="34"/>
      <c r="AD89" s="34"/>
      <c r="AE89" s="34"/>
    </row>
    <row r="90" spans="1:31" x14ac:dyDescent="0.25">
      <c r="A90" s="3"/>
      <c r="B90" s="39">
        <f t="shared" si="11"/>
        <v>-8.0000000000000029E-2</v>
      </c>
      <c r="C90" s="39">
        <f t="shared" si="0"/>
        <v>-8.0999999999999979</v>
      </c>
      <c r="D90" s="39" t="str">
        <f t="shared" si="5"/>
        <v>-8,1</v>
      </c>
      <c r="E90" s="39" t="str">
        <f t="shared" si="1"/>
        <v>-7,1+j</v>
      </c>
      <c r="F90" s="39" t="str">
        <f t="shared" si="6"/>
        <v>-32,1785644816184-4,53219218050963j</v>
      </c>
      <c r="G90" s="39">
        <f t="shared" si="7"/>
        <v>32.496165590093021</v>
      </c>
      <c r="H90" s="39" t="str">
        <f t="shared" si="2"/>
        <v>-32,1161147362418-5,08432488193143j</v>
      </c>
      <c r="I90" s="39">
        <f t="shared" si="8"/>
        <v>32.516075797311011</v>
      </c>
      <c r="J90" s="39">
        <f t="shared" si="9"/>
        <v>-2.9845849490934531</v>
      </c>
      <c r="K90" s="39">
        <f t="shared" si="10"/>
        <v>-25660.81890682751</v>
      </c>
      <c r="L90" s="39"/>
      <c r="M90" s="39">
        <f t="shared" si="3"/>
        <v>22449.164200633018</v>
      </c>
      <c r="N90" s="39">
        <f t="shared" si="4"/>
        <v>-151.26543056706518</v>
      </c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"/>
      <c r="AB90" s="34"/>
      <c r="AC90" s="34"/>
      <c r="AD90" s="34"/>
      <c r="AE90" s="34"/>
    </row>
    <row r="91" spans="1:31" x14ac:dyDescent="0.25">
      <c r="A91" s="3"/>
      <c r="B91" s="39">
        <f t="shared" si="11"/>
        <v>-6.0000000000000026E-2</v>
      </c>
      <c r="C91" s="39">
        <f t="shared" si="0"/>
        <v>-10.599999999999996</v>
      </c>
      <c r="D91" s="39" t="str">
        <f t="shared" si="5"/>
        <v>-10,6</v>
      </c>
      <c r="E91" s="39" t="str">
        <f t="shared" si="1"/>
        <v>-9,6+j</v>
      </c>
      <c r="F91" s="39" t="str">
        <f t="shared" si="6"/>
        <v>-24,0103048518678-2,50107342206956j</v>
      </c>
      <c r="G91" s="39">
        <f t="shared" si="7"/>
        <v>24.140217632453297</v>
      </c>
      <c r="H91" s="39" t="str">
        <f t="shared" si="2"/>
        <v>-23,9478551064912-3,05320612349136j</v>
      </c>
      <c r="I91" s="39">
        <f t="shared" si="8"/>
        <v>24.141703167631356</v>
      </c>
      <c r="J91" s="39">
        <f t="shared" si="9"/>
        <v>-3.0147828572263737</v>
      </c>
      <c r="K91" s="39">
        <f t="shared" si="10"/>
        <v>-18531.453413482242</v>
      </c>
      <c r="L91" s="39"/>
      <c r="M91" s="39">
        <f t="shared" si="3"/>
        <v>16739.550719437346</v>
      </c>
      <c r="N91" s="39">
        <f t="shared" si="4"/>
        <v>-111.30035473669433</v>
      </c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"/>
      <c r="AB91" s="34"/>
      <c r="AC91" s="34"/>
      <c r="AD91" s="34"/>
      <c r="AE91" s="34"/>
    </row>
    <row r="92" spans="1:31" x14ac:dyDescent="0.25">
      <c r="A92" s="3"/>
      <c r="B92" s="39">
        <f t="shared" si="11"/>
        <v>-4.0000000000000022E-2</v>
      </c>
      <c r="C92" s="39">
        <f t="shared" si="0"/>
        <v>-15.599999999999991</v>
      </c>
      <c r="D92" s="39" t="str">
        <f t="shared" si="5"/>
        <v>-15,6</v>
      </c>
      <c r="E92" s="39" t="str">
        <f t="shared" si="1"/>
        <v>-14,6+j</v>
      </c>
      <c r="F92" s="39" t="str">
        <f t="shared" si="6"/>
        <v>-15,8843855061636-1,08797161001121j</v>
      </c>
      <c r="G92" s="39">
        <f t="shared" si="7"/>
        <v>15.921601211329552</v>
      </c>
      <c r="H92" s="39" t="str">
        <f t="shared" si="2"/>
        <v>-15,821935760787-1,64010431143301j</v>
      </c>
      <c r="I92" s="39">
        <f t="shared" si="8"/>
        <v>15.906715354555498</v>
      </c>
      <c r="J92" s="39">
        <f t="shared" si="9"/>
        <v>-3.0383014140252542</v>
      </c>
      <c r="K92" s="39">
        <f t="shared" si="10"/>
        <v>-11863.677624206171</v>
      </c>
      <c r="L92" s="39"/>
      <c r="M92" s="39">
        <f t="shared" si="3"/>
        <v>11059.533096790114</v>
      </c>
      <c r="N92" s="39">
        <f t="shared" si="4"/>
        <v>-72.623793289622597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"/>
      <c r="AB92" s="34"/>
      <c r="AC92" s="34"/>
      <c r="AD92" s="34"/>
      <c r="AE92" s="34"/>
    </row>
    <row r="93" spans="1:31" x14ac:dyDescent="0.25">
      <c r="A93" s="3"/>
      <c r="B93" s="39">
        <f t="shared" si="11"/>
        <v>-2.0000000000000021E-2</v>
      </c>
      <c r="C93" s="39">
        <f t="shared" si="0"/>
        <v>-30.599999999999966</v>
      </c>
      <c r="D93" s="39" t="str">
        <f t="shared" si="5"/>
        <v>-30,6</v>
      </c>
      <c r="E93" s="39" t="str">
        <f t="shared" si="1"/>
        <v>-29,6+j</v>
      </c>
      <c r="F93" s="39" t="str">
        <f t="shared" si="6"/>
        <v>-7,8626476355511-0,265629987687537j</v>
      </c>
      <c r="G93" s="39">
        <f t="shared" si="7"/>
        <v>7.8671333490157762</v>
      </c>
      <c r="H93" s="39" t="str">
        <f t="shared" si="2"/>
        <v>-7,80019789017453-0,817762689109338j</v>
      </c>
      <c r="I93" s="39">
        <f t="shared" si="8"/>
        <v>7.8429473376774963</v>
      </c>
      <c r="J93" s="39">
        <f t="shared" si="9"/>
        <v>-3.0371355292190159</v>
      </c>
      <c r="K93" s="39">
        <f t="shared" si="10"/>
        <v>-5681.6660586438029</v>
      </c>
      <c r="L93" s="39"/>
      <c r="M93" s="39">
        <f t="shared" si="3"/>
        <v>5452.3383252319964</v>
      </c>
      <c r="N93" s="39">
        <f t="shared" si="4"/>
        <v>-35.462427768948906</v>
      </c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"/>
      <c r="AB93" s="34"/>
      <c r="AC93" s="34"/>
      <c r="AD93" s="34"/>
      <c r="AE93" s="34"/>
    </row>
    <row r="94" spans="1:31" x14ac:dyDescent="0.25">
      <c r="A94" s="3"/>
      <c r="B94" s="39">
        <f>B93+0.02</f>
        <v>0</v>
      </c>
      <c r="C94" s="39" t="e">
        <f t="shared" si="0"/>
        <v>#DIV/0!</v>
      </c>
      <c r="D94" s="39" t="e">
        <f t="shared" si="5"/>
        <v>#DIV/0!</v>
      </c>
      <c r="E94" s="39" t="e">
        <f t="shared" si="1"/>
        <v>#DIV/0!</v>
      </c>
      <c r="F94" s="39" t="e">
        <f t="shared" si="6"/>
        <v>#DIV/0!</v>
      </c>
      <c r="G94" s="39" t="e">
        <f t="shared" si="7"/>
        <v>#DIV/0!</v>
      </c>
      <c r="H94" s="39" t="e">
        <f t="shared" si="2"/>
        <v>#DIV/0!</v>
      </c>
      <c r="I94" s="39" t="e">
        <f t="shared" si="8"/>
        <v>#DIV/0!</v>
      </c>
      <c r="J94" s="39" t="e">
        <f t="shared" si="9"/>
        <v>#DIV/0!</v>
      </c>
      <c r="K94" s="39" t="e">
        <f t="shared" si="10"/>
        <v>#DIV/0!</v>
      </c>
      <c r="L94" s="39"/>
      <c r="M94" s="39" t="e">
        <f t="shared" si="3"/>
        <v>#DIV/0!</v>
      </c>
      <c r="N94" s="39" t="e">
        <f t="shared" si="4"/>
        <v>#DIV/0!</v>
      </c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"/>
      <c r="AB94" s="34"/>
      <c r="AC94" s="34"/>
      <c r="AD94" s="34"/>
      <c r="AE94" s="34"/>
    </row>
    <row r="95" spans="1:31" x14ac:dyDescent="0.25">
      <c r="A95" s="3"/>
      <c r="B95" s="39">
        <f t="shared" si="11"/>
        <v>0.02</v>
      </c>
      <c r="C95" s="39">
        <f t="shared" si="0"/>
        <v>29.4</v>
      </c>
      <c r="D95" s="39" t="str">
        <f t="shared" si="5"/>
        <v>29,4</v>
      </c>
      <c r="E95" s="39" t="str">
        <f t="shared" si="1"/>
        <v>30,4+j</v>
      </c>
      <c r="F95" s="39" t="str">
        <f t="shared" si="6"/>
        <v>7,656189199706-0,251848328937697j</v>
      </c>
      <c r="G95" s="39">
        <f t="shared" si="7"/>
        <v>7.6603303220215979</v>
      </c>
      <c r="H95" s="39" t="str">
        <f t="shared" si="2"/>
        <v>7,71863894508257-0,803981030359498j</v>
      </c>
      <c r="I95" s="39">
        <f t="shared" si="8"/>
        <v>7.7603977128574586</v>
      </c>
      <c r="J95" s="39">
        <f t="shared" si="9"/>
        <v>-0.1037867191319992</v>
      </c>
      <c r="K95" s="39">
        <f t="shared" si="10"/>
        <v>5175.6342686670459</v>
      </c>
      <c r="L95" s="39"/>
      <c r="M95" s="39">
        <f t="shared" si="3"/>
        <v>-5395.3286226127157</v>
      </c>
      <c r="N95" s="39">
        <f t="shared" si="4"/>
        <v>33.622533552911129</v>
      </c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"/>
      <c r="AB95" s="34"/>
      <c r="AC95" s="34"/>
      <c r="AD95" s="34"/>
      <c r="AE95" s="34"/>
    </row>
    <row r="96" spans="1:31" x14ac:dyDescent="0.25">
      <c r="A96" s="3"/>
      <c r="B96" s="39">
        <f t="shared" si="11"/>
        <v>0.04</v>
      </c>
      <c r="C96" s="39">
        <f t="shared" si="0"/>
        <v>14.399999999999999</v>
      </c>
      <c r="D96" s="39" t="str">
        <f t="shared" si="5"/>
        <v>14,4</v>
      </c>
      <c r="E96" s="39" t="str">
        <f t="shared" si="1"/>
        <v>15,4+j</v>
      </c>
      <c r="F96" s="39" t="str">
        <f t="shared" si="6"/>
        <v>15,0663419549882-0,978333893181055j</v>
      </c>
      <c r="G96" s="39">
        <f t="shared" si="7"/>
        <v>15.098072629020715</v>
      </c>
      <c r="H96" s="39" t="str">
        <f t="shared" si="2"/>
        <v>15,1287917003648-1,53046659460286j</v>
      </c>
      <c r="I96" s="39">
        <f t="shared" si="8"/>
        <v>15.206007573002921</v>
      </c>
      <c r="J96" s="39">
        <f t="shared" si="9"/>
        <v>-0.10081952298117784</v>
      </c>
      <c r="K96" s="39">
        <f t="shared" si="10"/>
        <v>9847.5176352031685</v>
      </c>
      <c r="L96" s="39"/>
      <c r="M96" s="39">
        <f t="shared" si="3"/>
        <v>-10575.025398554997</v>
      </c>
      <c r="N96" s="39">
        <f t="shared" si="4"/>
        <v>65.305305554692353</v>
      </c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"/>
      <c r="AB96" s="34"/>
      <c r="AC96" s="34"/>
      <c r="AD96" s="34"/>
      <c r="AE96" s="34"/>
    </row>
    <row r="97" spans="1:31" x14ac:dyDescent="0.25">
      <c r="A97" s="3"/>
      <c r="B97" s="39">
        <f t="shared" si="11"/>
        <v>0.06</v>
      </c>
      <c r="C97" s="39">
        <f t="shared" si="0"/>
        <v>9.3999999999999986</v>
      </c>
      <c r="D97" s="39" t="str">
        <f t="shared" si="5"/>
        <v>9,4</v>
      </c>
      <c r="E97" s="39" t="str">
        <f t="shared" si="1"/>
        <v>10,4+j</v>
      </c>
      <c r="F97" s="39" t="str">
        <f t="shared" si="6"/>
        <v>22,1986075485526-2,13448149505313j</v>
      </c>
      <c r="G97" s="39">
        <f t="shared" si="7"/>
        <v>22.300990748112081</v>
      </c>
      <c r="H97" s="39" t="str">
        <f t="shared" si="2"/>
        <v>22,2610572939292-2,68661419647493j</v>
      </c>
      <c r="I97" s="39">
        <f t="shared" si="8"/>
        <v>22.422590565862347</v>
      </c>
      <c r="J97" s="39">
        <f t="shared" si="9"/>
        <v>-0.12010585174019052</v>
      </c>
      <c r="K97" s="39">
        <f t="shared" si="10"/>
        <v>14024.824111396132</v>
      </c>
      <c r="L97" s="39"/>
      <c r="M97" s="39">
        <f t="shared" si="3"/>
        <v>-15560.479048456511</v>
      </c>
      <c r="N97" s="39">
        <f t="shared" si="4"/>
        <v>94.986634731315732</v>
      </c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"/>
      <c r="AB97" s="34"/>
      <c r="AC97" s="34"/>
      <c r="AD97" s="34"/>
      <c r="AE97" s="34"/>
    </row>
    <row r="98" spans="1:31" x14ac:dyDescent="0.25">
      <c r="A98" s="3"/>
      <c r="B98" s="39">
        <f t="shared" si="11"/>
        <v>0.08</v>
      </c>
      <c r="C98" s="39">
        <f t="shared" si="0"/>
        <v>6.9</v>
      </c>
      <c r="D98" s="39" t="str">
        <f t="shared" si="5"/>
        <v>6,9</v>
      </c>
      <c r="E98" s="39" t="str">
        <f t="shared" si="1"/>
        <v>7,9+j</v>
      </c>
      <c r="F98" s="39" t="str">
        <f t="shared" si="6"/>
        <v>29,0285443936288-3,67449929033275j</v>
      </c>
      <c r="G98" s="39">
        <f t="shared" si="7"/>
        <v>29.260183434960449</v>
      </c>
      <c r="H98" s="39" t="str">
        <f t="shared" si="2"/>
        <v>29,0909941390054-4,22663199175455j</v>
      </c>
      <c r="I98" s="39">
        <f t="shared" si="8"/>
        <v>29.396434443472383</v>
      </c>
      <c r="J98" s="39">
        <f t="shared" si="9"/>
        <v>-0.14428048723341264</v>
      </c>
      <c r="K98" s="39">
        <f t="shared" si="10"/>
        <v>17722.477527203951</v>
      </c>
      <c r="L98" s="39"/>
      <c r="M98" s="39">
        <f t="shared" si="3"/>
        <v>-20334.604903164774</v>
      </c>
      <c r="N98" s="39">
        <f t="shared" si="4"/>
        <v>122.63926487072743</v>
      </c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"/>
      <c r="AB98" s="34"/>
      <c r="AC98" s="34"/>
      <c r="AD98" s="34"/>
      <c r="AE98" s="34"/>
    </row>
    <row r="99" spans="1:31" x14ac:dyDescent="0.25">
      <c r="A99" s="3"/>
      <c r="B99" s="39">
        <f t="shared" si="11"/>
        <v>0.1</v>
      </c>
      <c r="C99" s="39">
        <f t="shared" si="0"/>
        <v>5.4</v>
      </c>
      <c r="D99" s="39" t="str">
        <f t="shared" si="5"/>
        <v>5,4</v>
      </c>
      <c r="E99" s="39" t="str">
        <f t="shared" si="1"/>
        <v>6,4+j</v>
      </c>
      <c r="F99" s="39" t="str">
        <f t="shared" si="6"/>
        <v>35,5386081982841-5,55290753098189j</v>
      </c>
      <c r="G99" s="39">
        <f t="shared" si="7"/>
        <v>35.969813103751058</v>
      </c>
      <c r="H99" s="39" t="str">
        <f t="shared" si="2"/>
        <v>35,6010579436607-6,10504023240369j</v>
      </c>
      <c r="I99" s="39">
        <f t="shared" si="8"/>
        <v>36.120725947122857</v>
      </c>
      <c r="J99" s="39">
        <f t="shared" si="9"/>
        <v>-0.16983289489284897</v>
      </c>
      <c r="K99" s="39">
        <f t="shared" si="10"/>
        <v>20960.004766444261</v>
      </c>
      <c r="L99" s="39"/>
      <c r="M99" s="39">
        <f t="shared" si="3"/>
        <v>-24885.139502618829</v>
      </c>
      <c r="N99" s="39">
        <f t="shared" si="4"/>
        <v>148.26607789233211</v>
      </c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"/>
      <c r="AB99" s="34"/>
      <c r="AC99" s="34"/>
      <c r="AD99" s="34"/>
      <c r="AE99" s="34"/>
    </row>
    <row r="100" spans="1:31" x14ac:dyDescent="0.25">
      <c r="A100" s="3"/>
      <c r="B100" s="39">
        <f t="shared" si="11"/>
        <v>0.12000000000000001</v>
      </c>
      <c r="C100" s="39">
        <f t="shared" si="0"/>
        <v>4.3999999999999995</v>
      </c>
      <c r="D100" s="39" t="str">
        <f t="shared" si="5"/>
        <v>4,4</v>
      </c>
      <c r="E100" s="39" t="str">
        <f t="shared" si="1"/>
        <v>5,4+j</v>
      </c>
      <c r="F100" s="39" t="str">
        <f t="shared" si="6"/>
        <v>41,7175066312997-7,72546419098143j</v>
      </c>
      <c r="G100" s="39">
        <f t="shared" si="7"/>
        <v>42.426797622477601</v>
      </c>
      <c r="H100" s="39" t="str">
        <f t="shared" si="2"/>
        <v>41,7799563766763-8,27759689240323j</v>
      </c>
      <c r="I100" s="39">
        <f t="shared" si="8"/>
        <v>42.592057536001924</v>
      </c>
      <c r="J100" s="39">
        <f t="shared" si="9"/>
        <v>-0.19559071492883992</v>
      </c>
      <c r="K100" s="39">
        <f t="shared" si="10"/>
        <v>23760.437665782454</v>
      </c>
      <c r="L100" s="39"/>
      <c r="M100" s="39">
        <f t="shared" si="3"/>
        <v>-29204.189507296735</v>
      </c>
      <c r="N100" s="39">
        <f t="shared" si="4"/>
        <v>171.89557439108742</v>
      </c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"/>
      <c r="AB100" s="34"/>
      <c r="AC100" s="34"/>
      <c r="AD100" s="34"/>
      <c r="AE100" s="34"/>
    </row>
    <row r="101" spans="1:31" x14ac:dyDescent="0.25">
      <c r="A101" s="3"/>
      <c r="B101" s="39">
        <f t="shared" si="11"/>
        <v>0.14000000000000001</v>
      </c>
      <c r="C101" s="39">
        <f t="shared" si="0"/>
        <v>3.6857142857142855</v>
      </c>
      <c r="D101" s="39" t="str">
        <f t="shared" si="5"/>
        <v>3,68571428571429</v>
      </c>
      <c r="E101" s="39" t="str">
        <f t="shared" si="1"/>
        <v>4,68571428571429+j</v>
      </c>
      <c r="F101" s="39" t="str">
        <f t="shared" si="6"/>
        <v>47,5594751253511-10,1498879840688j</v>
      </c>
      <c r="G101" s="39">
        <f t="shared" si="7"/>
        <v>48.630483241358334</v>
      </c>
      <c r="H101" s="39" t="str">
        <f t="shared" si="2"/>
        <v>47,6219248707277-10,7020206854906j</v>
      </c>
      <c r="I101" s="39">
        <f t="shared" si="8"/>
        <v>48.809640186605584</v>
      </c>
      <c r="J101" s="39">
        <f t="shared" si="9"/>
        <v>-0.22105634837956614</v>
      </c>
      <c r="K101" s="39">
        <f t="shared" si="10"/>
        <v>26149.30141175626</v>
      </c>
      <c r="L101" s="39"/>
      <c r="M101" s="39">
        <f t="shared" si="3"/>
        <v>-33287.725484638664</v>
      </c>
      <c r="N101" s="39">
        <f t="shared" si="4"/>
        <v>193.5773638852441</v>
      </c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"/>
      <c r="AB101" s="34"/>
      <c r="AC101" s="34"/>
      <c r="AD101" s="34"/>
      <c r="AE101" s="34"/>
    </row>
    <row r="102" spans="1:31" x14ac:dyDescent="0.25">
      <c r="A102" s="3"/>
      <c r="B102" s="39">
        <f t="shared" si="11"/>
        <v>0.16</v>
      </c>
      <c r="C102" s="39">
        <f t="shared" si="0"/>
        <v>3.15</v>
      </c>
      <c r="D102" s="39" t="str">
        <f t="shared" si="5"/>
        <v>3,15</v>
      </c>
      <c r="E102" s="39" t="str">
        <f t="shared" si="1"/>
        <v>4,15+j</v>
      </c>
      <c r="F102" s="39" t="str">
        <f t="shared" si="6"/>
        <v>53,063520373165-12,7863904513651j</v>
      </c>
      <c r="G102" s="39">
        <f t="shared" si="7"/>
        <v>54.582313757920318</v>
      </c>
      <c r="H102" s="39" t="str">
        <f t="shared" si="2"/>
        <v>53,1259701185416-13,3385231527869j</v>
      </c>
      <c r="I102" s="39">
        <f t="shared" si="8"/>
        <v>54.774856466572395</v>
      </c>
      <c r="J102" s="39">
        <f t="shared" si="9"/>
        <v>-0.24598875871280587</v>
      </c>
      <c r="K102" s="39">
        <f t="shared" si="10"/>
        <v>28153.713815338146</v>
      </c>
      <c r="L102" s="39"/>
      <c r="M102" s="39">
        <f t="shared" si="3"/>
        <v>-37135.05311286058</v>
      </c>
      <c r="N102" s="39">
        <f t="shared" si="4"/>
        <v>213.37785115798596</v>
      </c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"/>
      <c r="AB102" s="34"/>
      <c r="AC102" s="34"/>
      <c r="AD102" s="34"/>
      <c r="AE102" s="34"/>
    </row>
    <row r="103" spans="1:31" x14ac:dyDescent="0.25">
      <c r="A103" s="3"/>
      <c r="B103" s="39">
        <f t="shared" si="11"/>
        <v>0.18</v>
      </c>
      <c r="C103" s="39">
        <f t="shared" si="0"/>
        <v>2.7333333333333334</v>
      </c>
      <c r="D103" s="39" t="str">
        <f t="shared" si="5"/>
        <v>2,73333333333333</v>
      </c>
      <c r="E103" s="39" t="str">
        <f t="shared" si="1"/>
        <v>3,73333333333333+j</v>
      </c>
      <c r="F103" s="39" t="str">
        <f t="shared" si="6"/>
        <v>58,232668848557-15,5980362987206j</v>
      </c>
      <c r="G103" s="39">
        <f t="shared" si="7"/>
        <v>60.285507857211471</v>
      </c>
      <c r="H103" s="39" t="str">
        <f t="shared" si="2"/>
        <v>58,2951185939336-16,1501690001424j</v>
      </c>
      <c r="I103" s="39">
        <f t="shared" si="8"/>
        <v>60.490898576677999</v>
      </c>
      <c r="J103" s="39">
        <f t="shared" si="9"/>
        <v>-0.27026321512459978</v>
      </c>
      <c r="K103" s="39">
        <f t="shared" si="10"/>
        <v>29801.608152335626</v>
      </c>
      <c r="L103" s="39"/>
      <c r="M103" s="39">
        <f t="shared" si="3"/>
        <v>-40748.287897159586</v>
      </c>
      <c r="N103" s="39">
        <f t="shared" si="4"/>
        <v>231.37625068291609</v>
      </c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"/>
      <c r="AB103" s="34"/>
      <c r="AC103" s="34"/>
      <c r="AD103" s="34"/>
      <c r="AE103" s="34"/>
    </row>
    <row r="104" spans="1:31" x14ac:dyDescent="0.25">
      <c r="A104" s="3"/>
      <c r="B104" s="39">
        <f t="shared" si="11"/>
        <v>0.19999999999999998</v>
      </c>
      <c r="C104" s="39">
        <f t="shared" si="0"/>
        <v>2.4</v>
      </c>
      <c r="D104" s="39" t="str">
        <f t="shared" si="5"/>
        <v>2,4</v>
      </c>
      <c r="E104" s="39" t="str">
        <f t="shared" si="1"/>
        <v>3,4+j</v>
      </c>
      <c r="F104" s="39" t="str">
        <f t="shared" si="6"/>
        <v>63,0732484076433-18,5509554140127j</v>
      </c>
      <c r="G104" s="39">
        <f t="shared" si="7"/>
        <v>65.744753490031158</v>
      </c>
      <c r="H104" s="39" t="str">
        <f t="shared" si="2"/>
        <v>63,1356981530199-19,1030881154345j</v>
      </c>
      <c r="I104" s="39">
        <f t="shared" si="8"/>
        <v>65.962446564809099</v>
      </c>
      <c r="J104" s="39">
        <f t="shared" si="9"/>
        <v>-0.29381466187130845</v>
      </c>
      <c r="K104" s="39">
        <f t="shared" si="10"/>
        <v>31121.082802547746</v>
      </c>
      <c r="L104" s="39"/>
      <c r="M104" s="39">
        <f t="shared" si="3"/>
        <v>-44131.853008960912</v>
      </c>
      <c r="N104" s="39">
        <f t="shared" si="4"/>
        <v>247.66101227556692</v>
      </c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"/>
      <c r="AB104" s="34"/>
      <c r="AC104" s="34"/>
      <c r="AD104" s="34"/>
      <c r="AE104" s="34"/>
    </row>
    <row r="105" spans="1:31" x14ac:dyDescent="0.25">
      <c r="A105" s="3"/>
      <c r="B105" s="39">
        <f t="shared" si="11"/>
        <v>0.21999999999999997</v>
      </c>
      <c r="C105" s="39">
        <f t="shared" si="0"/>
        <v>2.1272727272727274</v>
      </c>
      <c r="D105" s="39" t="str">
        <f t="shared" si="5"/>
        <v>2,12727272727273</v>
      </c>
      <c r="E105" s="39" t="str">
        <f t="shared" si="1"/>
        <v>3,12727272727273+j</v>
      </c>
      <c r="F105" s="39" t="str">
        <f t="shared" si="6"/>
        <v>67,5942224539237-21,6144315986384j</v>
      </c>
      <c r="G105" s="39">
        <f t="shared" si="7"/>
        <v>70.965925361984404</v>
      </c>
      <c r="H105" s="39" t="str">
        <f t="shared" si="2"/>
        <v>67,6566721993003-22,1665643000602j</v>
      </c>
      <c r="I105" s="39">
        <f t="shared" si="8"/>
        <v>71.195378122124453</v>
      </c>
      <c r="J105" s="39">
        <f t="shared" si="9"/>
        <v>-0.31661158893127228</v>
      </c>
      <c r="K105" s="39">
        <f t="shared" si="10"/>
        <v>32139.873807844404</v>
      </c>
      <c r="L105" s="39"/>
      <c r="M105" s="39">
        <f t="shared" si="3"/>
        <v>-47292.013867310903</v>
      </c>
      <c r="N105" s="39">
        <f t="shared" si="4"/>
        <v>262.32670011340656</v>
      </c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"/>
      <c r="AB105" s="34"/>
      <c r="AC105" s="34"/>
      <c r="AD105" s="34"/>
      <c r="AE105" s="34"/>
    </row>
    <row r="106" spans="1:31" x14ac:dyDescent="0.25">
      <c r="A106" s="3"/>
      <c r="B106" s="39">
        <f t="shared" si="11"/>
        <v>0.23999999999999996</v>
      </c>
      <c r="C106" s="39">
        <f t="shared" si="0"/>
        <v>1.9000000000000001</v>
      </c>
      <c r="D106" s="39" t="str">
        <f t="shared" si="5"/>
        <v>1,9</v>
      </c>
      <c r="E106" s="39" t="str">
        <f t="shared" si="1"/>
        <v>2,9+j</v>
      </c>
      <c r="F106" s="39" t="str">
        <f t="shared" si="6"/>
        <v>71,8065887353879-24,7608926673751j</v>
      </c>
      <c r="G106" s="39">
        <f t="shared" si="7"/>
        <v>75.955829213421197</v>
      </c>
      <c r="H106" s="39" t="str">
        <f t="shared" si="2"/>
        <v>71,8690384807645-25,3130253687969j</v>
      </c>
      <c r="I106" s="39">
        <f t="shared" si="8"/>
        <v>76.196508748570395</v>
      </c>
      <c r="J106" s="39">
        <f t="shared" si="9"/>
        <v>-0.33864266845959817</v>
      </c>
      <c r="K106" s="39">
        <f t="shared" si="10"/>
        <v>32884.941551540935</v>
      </c>
      <c r="L106" s="39"/>
      <c r="M106" s="39">
        <f t="shared" si="3"/>
        <v>-50236.457898054388</v>
      </c>
      <c r="N106" s="39">
        <f t="shared" si="4"/>
        <v>275.47133494342239</v>
      </c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"/>
      <c r="AB106" s="34"/>
      <c r="AC106" s="34"/>
      <c r="AD106" s="34"/>
      <c r="AE106" s="34"/>
    </row>
    <row r="107" spans="1:31" x14ac:dyDescent="0.25">
      <c r="A107" s="3"/>
      <c r="B107" s="39">
        <f t="shared" si="11"/>
        <v>0.25999999999999995</v>
      </c>
      <c r="C107" s="39">
        <f t="shared" si="0"/>
        <v>1.7076923076923081</v>
      </c>
      <c r="D107" s="39" t="str">
        <f t="shared" si="5"/>
        <v>1,70769230769231</v>
      </c>
      <c r="E107" s="39" t="str">
        <f t="shared" si="1"/>
        <v>2,70769230769231+j</v>
      </c>
      <c r="F107" s="39" t="str">
        <f t="shared" si="6"/>
        <v>75,722848782705-27,9658248345217j</v>
      </c>
      <c r="G107" s="39">
        <f t="shared" si="7"/>
        <v>80.721974619328776</v>
      </c>
      <c r="H107" s="39" t="str">
        <f t="shared" si="2"/>
        <v>75,7852985280816-28,5179575359435j</v>
      </c>
      <c r="I107" s="39">
        <f t="shared" si="8"/>
        <v>80.973362132323018</v>
      </c>
      <c r="J107" s="39">
        <f t="shared" si="9"/>
        <v>-0.359909327504148</v>
      </c>
      <c r="K107" s="39">
        <f t="shared" si="10"/>
        <v>33382.159739780087</v>
      </c>
      <c r="L107" s="39"/>
      <c r="M107" s="39">
        <f t="shared" si="3"/>
        <v>-52973.923671129036</v>
      </c>
      <c r="N107" s="39">
        <f t="shared" si="4"/>
        <v>287.19418542338684</v>
      </c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"/>
      <c r="AB107" s="34"/>
      <c r="AC107" s="34"/>
      <c r="AD107" s="34"/>
      <c r="AE107" s="34"/>
    </row>
    <row r="108" spans="1:31" x14ac:dyDescent="0.25">
      <c r="A108" s="3"/>
      <c r="B108" s="39">
        <f t="shared" si="11"/>
        <v>0.27999999999999997</v>
      </c>
      <c r="C108" s="39">
        <f t="shared" si="0"/>
        <v>1.5428571428571429</v>
      </c>
      <c r="D108" s="39" t="str">
        <f t="shared" si="5"/>
        <v>1,54285714285714</v>
      </c>
      <c r="E108" s="39" t="str">
        <f t="shared" si="1"/>
        <v>2,54285714285714+j</v>
      </c>
      <c r="F108" s="39" t="str">
        <f t="shared" si="6"/>
        <v>79,3565493111743-31,2076317515855j</v>
      </c>
      <c r="G108" s="39">
        <f t="shared" si="7"/>
        <v>85.272376524402119</v>
      </c>
      <c r="H108" s="39" t="str">
        <f t="shared" si="2"/>
        <v>79,4189990565509-31,7597644530073j</v>
      </c>
      <c r="I108" s="39">
        <f t="shared" si="8"/>
        <v>85.533970147859606</v>
      </c>
      <c r="J108" s="39">
        <f t="shared" si="9"/>
        <v>-0.38042132584734056</v>
      </c>
      <c r="K108" s="39">
        <f t="shared" si="10"/>
        <v>33656.093374152675</v>
      </c>
      <c r="L108" s="39"/>
      <c r="M108" s="39">
        <f t="shared" si="3"/>
        <v>-55513.880340529075</v>
      </c>
      <c r="N108" s="39">
        <f t="shared" si="4"/>
        <v>297.5939782318485</v>
      </c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"/>
      <c r="AB108" s="34"/>
      <c r="AC108" s="34"/>
      <c r="AD108" s="34"/>
      <c r="AE108" s="34"/>
    </row>
    <row r="109" spans="1:31" x14ac:dyDescent="0.25">
      <c r="A109" s="3"/>
      <c r="B109" s="39">
        <f t="shared" si="11"/>
        <v>0.3</v>
      </c>
      <c r="C109" s="39">
        <f t="shared" si="0"/>
        <v>1.4</v>
      </c>
      <c r="D109" s="39" t="str">
        <f t="shared" si="5"/>
        <v>1,4</v>
      </c>
      <c r="E109" s="39" t="str">
        <f t="shared" si="1"/>
        <v>2,4+j</v>
      </c>
      <c r="F109" s="39" t="str">
        <f t="shared" si="6"/>
        <v>82,7218934911243-34,4674556213018j</v>
      </c>
      <c r="G109" s="39">
        <f t="shared" si="7"/>
        <v>89.615384615384656</v>
      </c>
      <c r="H109" s="39" t="str">
        <f t="shared" si="2"/>
        <v>82,7843432365009-35,0195883227236j</v>
      </c>
      <c r="I109" s="39">
        <f t="shared" si="8"/>
        <v>89.886701193178922</v>
      </c>
      <c r="J109" s="39">
        <f t="shared" si="9"/>
        <v>-0.40019396771389976</v>
      </c>
      <c r="K109" s="39">
        <f t="shared" si="10"/>
        <v>33729.852071005946</v>
      </c>
      <c r="L109" s="39"/>
      <c r="M109" s="39">
        <f t="shared" si="3"/>
        <v>-57866.255922314129</v>
      </c>
      <c r="N109" s="39">
        <f t="shared" si="4"/>
        <v>306.76748660563374</v>
      </c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"/>
      <c r="AB109" s="34"/>
      <c r="AC109" s="34"/>
      <c r="AD109" s="34"/>
      <c r="AE109" s="34"/>
    </row>
    <row r="110" spans="1:31" x14ac:dyDescent="0.25">
      <c r="A110" s="3"/>
      <c r="B110" s="39">
        <f t="shared" si="11"/>
        <v>0.32</v>
      </c>
      <c r="C110" s="39">
        <f t="shared" si="0"/>
        <v>1.2749999999999999</v>
      </c>
      <c r="D110" s="39" t="str">
        <f t="shared" si="5"/>
        <v>1,275</v>
      </c>
      <c r="E110" s="39" t="str">
        <f t="shared" si="1"/>
        <v>2,275+j</v>
      </c>
      <c r="F110" s="39" t="str">
        <f t="shared" si="6"/>
        <v>85,8334176702763-37,7289748001214j</v>
      </c>
      <c r="G110" s="39">
        <f t="shared" si="7"/>
        <v>93.759538866337735</v>
      </c>
      <c r="H110" s="39" t="str">
        <f t="shared" si="2"/>
        <v>85,8958674156529-38,2811075015432j</v>
      </c>
      <c r="I110" s="39">
        <f t="shared" si="8"/>
        <v>94.040115007544145</v>
      </c>
      <c r="J110" s="39">
        <f t="shared" si="9"/>
        <v>-0.41924625849838942</v>
      </c>
      <c r="K110" s="39">
        <f t="shared" si="10"/>
        <v>33625.005566238229</v>
      </c>
      <c r="L110" s="39"/>
      <c r="M110" s="39">
        <f t="shared" si="3"/>
        <v>-60041.211323541378</v>
      </c>
      <c r="N110" s="39">
        <f t="shared" si="4"/>
        <v>314.80845199687508</v>
      </c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"/>
      <c r="AB110" s="34"/>
      <c r="AC110" s="34"/>
      <c r="AD110" s="34"/>
      <c r="AE110" s="34"/>
    </row>
    <row r="111" spans="1:31" x14ac:dyDescent="0.25">
      <c r="A111" s="3"/>
      <c r="B111" s="39">
        <f t="shared" si="11"/>
        <v>0.34</v>
      </c>
      <c r="C111" s="39">
        <f t="shared" si="0"/>
        <v>1.164705882352941</v>
      </c>
      <c r="D111" s="39" t="str">
        <f t="shared" si="5"/>
        <v>1,16470588235294</v>
      </c>
      <c r="E111" s="39" t="str">
        <f t="shared" si="1"/>
        <v>2,16470588235294+j</v>
      </c>
      <c r="F111" s="39" t="str">
        <f t="shared" si="6"/>
        <v>88,7057277086731-40,9781894306371j</v>
      </c>
      <c r="G111" s="39">
        <f t="shared" si="7"/>
        <v>97.713449111872166</v>
      </c>
      <c r="H111" s="39" t="str">
        <f t="shared" si="2"/>
        <v>88,7681774540497-41,5303221320589j</v>
      </c>
      <c r="I111" s="39">
        <f t="shared" si="8"/>
        <v>98.002841718524877</v>
      </c>
      <c r="J111" s="39">
        <f t="shared" si="9"/>
        <v>-0.43759963876153091</v>
      </c>
      <c r="K111" s="39">
        <f t="shared" si="10"/>
        <v>33361.549256347222</v>
      </c>
      <c r="L111" s="39"/>
      <c r="M111" s="39">
        <f t="shared" si="3"/>
        <v>-62048.956040380741</v>
      </c>
      <c r="N111" s="39">
        <f t="shared" si="4"/>
        <v>321.80679231931498</v>
      </c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"/>
      <c r="AB111" s="34"/>
      <c r="AC111" s="34"/>
      <c r="AD111" s="34"/>
      <c r="AE111" s="34"/>
    </row>
    <row r="112" spans="1:31" x14ac:dyDescent="0.25">
      <c r="A112" s="3"/>
      <c r="B112" s="39">
        <f t="shared" si="11"/>
        <v>0.36000000000000004</v>
      </c>
      <c r="C112" s="39">
        <f t="shared" si="0"/>
        <v>1.0666666666666664</v>
      </c>
      <c r="D112" s="39" t="str">
        <f t="shared" si="5"/>
        <v>1,06666666666667</v>
      </c>
      <c r="E112" s="39" t="str">
        <f t="shared" si="1"/>
        <v>2,06666666666667+j</v>
      </c>
      <c r="F112" s="39" t="str">
        <f t="shared" si="6"/>
        <v>91,3532883642495-44,2032040472174j</v>
      </c>
      <c r="G112" s="39">
        <f t="shared" si="7"/>
        <v>101.48569624829727</v>
      </c>
      <c r="H112" s="39" t="str">
        <f t="shared" si="2"/>
        <v>91,4157381096261-44,7553367486392j</v>
      </c>
      <c r="I112" s="39">
        <f t="shared" si="8"/>
        <v>101.78348265613553</v>
      </c>
      <c r="J112" s="39">
        <f t="shared" si="9"/>
        <v>-0.45527708834487773</v>
      </c>
      <c r="K112" s="39">
        <f t="shared" si="10"/>
        <v>32957.908937605302</v>
      </c>
      <c r="L112" s="39"/>
      <c r="M112" s="39">
        <f t="shared" si="3"/>
        <v>-63899.600938628646</v>
      </c>
      <c r="N112" s="39">
        <f t="shared" si="4"/>
        <v>327.84805166327095</v>
      </c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"/>
      <c r="AB112" s="34"/>
      <c r="AC112" s="34"/>
      <c r="AD112" s="34"/>
      <c r="AE112" s="34"/>
    </row>
    <row r="113" spans="1:31" x14ac:dyDescent="0.25">
      <c r="A113" s="3"/>
      <c r="B113" s="39">
        <f t="shared" si="11"/>
        <v>0.38000000000000006</v>
      </c>
      <c r="C113" s="39">
        <f t="shared" si="0"/>
        <v>0.97894736842105234</v>
      </c>
      <c r="D113" s="39" t="str">
        <f t="shared" si="5"/>
        <v>0,978947368421052</v>
      </c>
      <c r="E113" s="39" t="str">
        <f t="shared" si="1"/>
        <v>1,97894736842105+j</v>
      </c>
      <c r="F113" s="39" t="str">
        <f t="shared" si="6"/>
        <v>93,7902589645925-47,3940138384909j</v>
      </c>
      <c r="G113" s="39">
        <f t="shared" si="7"/>
        <v>105.08475257794726</v>
      </c>
      <c r="H113" s="39" t="str">
        <f t="shared" si="2"/>
        <v>93,8527087099691-47,9461465399127j</v>
      </c>
      <c r="I113" s="39">
        <f t="shared" si="8"/>
        <v>105.39053041058808</v>
      </c>
      <c r="J113" s="39">
        <f t="shared" si="9"/>
        <v>-0.4723024781182073</v>
      </c>
      <c r="K113" s="39">
        <f t="shared" si="10"/>
        <v>32430.975343145059</v>
      </c>
      <c r="L113" s="39"/>
      <c r="M113" s="39">
        <f t="shared" si="3"/>
        <v>-65603.043388268401</v>
      </c>
      <c r="N113" s="39">
        <f t="shared" si="4"/>
        <v>333.01304947959994</v>
      </c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"/>
      <c r="AB113" s="34"/>
      <c r="AC113" s="34"/>
      <c r="AD113" s="34"/>
      <c r="AE113" s="34"/>
    </row>
    <row r="114" spans="1:31" x14ac:dyDescent="0.25">
      <c r="A114" s="3"/>
      <c r="B114" s="39">
        <f t="shared" ref="B114:B160" si="12">B113+0.02</f>
        <v>0.40000000000000008</v>
      </c>
      <c r="C114" s="39">
        <f t="shared" si="0"/>
        <v>0.89999999999999969</v>
      </c>
      <c r="D114" s="39" t="str">
        <f t="shared" si="5"/>
        <v>0,9</v>
      </c>
      <c r="E114" s="39" t="str">
        <f t="shared" si="1"/>
        <v>1,9+j</v>
      </c>
      <c r="F114" s="39" t="str">
        <f t="shared" si="6"/>
        <v>96,0303687635575-50,5422993492408j</v>
      </c>
      <c r="G114" s="39">
        <f t="shared" si="7"/>
        <v>108.51891885000103</v>
      </c>
      <c r="H114" s="39" t="str">
        <f t="shared" si="2"/>
        <v>96,0928185089341-51,0944320506626j</v>
      </c>
      <c r="I114" s="39">
        <f t="shared" si="8"/>
        <v>108.83230566137392</v>
      </c>
      <c r="J114" s="39">
        <f t="shared" ref="J114:J160" si="13">IMARGUMENT(H114)</f>
        <v>-0.48870009363214639</v>
      </c>
      <c r="K114" s="39">
        <f t="shared" ref="K114:K160" si="14">3*G114*G114*C114</f>
        <v>31796.160520607387</v>
      </c>
      <c r="L114" s="39"/>
      <c r="M114" s="39">
        <f t="shared" si="3"/>
        <v>-67168.880137744927</v>
      </c>
      <c r="N114" s="39">
        <f t="shared" si="4"/>
        <v>337.3776913428552</v>
      </c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"/>
      <c r="AB114" s="34"/>
      <c r="AC114" s="34"/>
      <c r="AD114" s="34"/>
      <c r="AE114" s="34"/>
    </row>
    <row r="115" spans="1:31" x14ac:dyDescent="0.25">
      <c r="A115" s="3"/>
      <c r="B115" s="39">
        <f t="shared" si="12"/>
        <v>0.4200000000000001</v>
      </c>
      <c r="C115" s="39">
        <f t="shared" si="0"/>
        <v>0.82857142857142818</v>
      </c>
      <c r="D115" s="39" t="str">
        <f t="shared" si="5"/>
        <v>0,828571428571428</v>
      </c>
      <c r="E115" s="39" t="str">
        <f t="shared" si="1"/>
        <v>1,82857142857143+j</v>
      </c>
      <c r="F115" s="39" t="str">
        <f t="shared" si="6"/>
        <v>98,0868257846269-53,6412328509678j</v>
      </c>
      <c r="G115" s="39">
        <f t="shared" si="7"/>
        <v>111.79627567265152</v>
      </c>
      <c r="H115" s="39" t="str">
        <f t="shared" si="2"/>
        <v>98,1492755300035-54,1933655523896j</v>
      </c>
      <c r="I115" s="39">
        <f t="shared" si="8"/>
        <v>112.11690843472036</v>
      </c>
      <c r="J115" s="39">
        <f t="shared" si="13"/>
        <v>-0.50449428188548062</v>
      </c>
      <c r="K115" s="39">
        <f t="shared" si="14"/>
        <v>31067.469460627643</v>
      </c>
      <c r="L115" s="39"/>
      <c r="M115" s="39">
        <f t="shared" si="3"/>
        <v>-68606.343595472441</v>
      </c>
      <c r="N115" s="39">
        <f t="shared" si="4"/>
        <v>341.01290796322479</v>
      </c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"/>
      <c r="AB115" s="34"/>
      <c r="AC115" s="34"/>
      <c r="AD115" s="34"/>
      <c r="AE115" s="34"/>
    </row>
    <row r="116" spans="1:31" x14ac:dyDescent="0.25">
      <c r="A116" s="3"/>
      <c r="B116" s="39">
        <f t="shared" si="12"/>
        <v>0.44000000000000011</v>
      </c>
      <c r="C116" s="39">
        <f t="shared" ref="C116:C147" si="15">$C$29*(1-B116)/B116</f>
        <v>0.76363636363636322</v>
      </c>
      <c r="D116" s="39" t="str">
        <f t="shared" si="5"/>
        <v>0,763636363636363</v>
      </c>
      <c r="E116" s="39" t="str">
        <f t="shared" ref="E116:E147" si="16">IMSUM(D116,$F$31,$F$32)</f>
        <v>1,76363636363636+j</v>
      </c>
      <c r="F116" s="39" t="str">
        <f t="shared" si="6"/>
        <v>99,972253498472-56,6852983754224j</v>
      </c>
      <c r="G116" s="39">
        <f t="shared" si="7"/>
        <v>114.9246471453074</v>
      </c>
      <c r="H116" s="39" t="str">
        <f t="shared" ref="H116:H147" si="17">IMSUM(F116,$F$38,$F$39)</f>
        <v>100,034703243849-57,2374310768442j</v>
      </c>
      <c r="I116" s="39">
        <f t="shared" si="8"/>
        <v>115.25218162517108</v>
      </c>
      <c r="J116" s="39">
        <f t="shared" si="13"/>
        <v>-0.51970918855506398</v>
      </c>
      <c r="K116" s="39">
        <f t="shared" si="14"/>
        <v>30257.581631011803</v>
      </c>
      <c r="L116" s="39"/>
      <c r="M116" s="39">
        <f t="shared" ref="M116:M147" si="18">-3*$C$35*I116*COS(-J116)</f>
        <v>-69924.257567450433</v>
      </c>
      <c r="N116" s="39">
        <f t="shared" ref="N116:N147" si="19">K116/(3.1415*$C$30*(1-B116))</f>
        <v>343.98469374288675</v>
      </c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"/>
      <c r="AB116" s="34"/>
      <c r="AC116" s="34"/>
      <c r="AD116" s="34"/>
      <c r="AE116" s="34"/>
    </row>
    <row r="117" spans="1:31" x14ac:dyDescent="0.25">
      <c r="A117" s="3"/>
      <c r="B117" s="39">
        <f t="shared" si="12"/>
        <v>0.46000000000000013</v>
      </c>
      <c r="C117" s="39">
        <f t="shared" si="15"/>
        <v>0.70434782608695612</v>
      </c>
      <c r="D117" s="39" t="str">
        <f t="shared" si="5"/>
        <v>0,704347826086956</v>
      </c>
      <c r="E117" s="39" t="str">
        <f t="shared" si="16"/>
        <v>1,70434782608696+j</v>
      </c>
      <c r="F117" s="39" t="str">
        <f t="shared" si="6"/>
        <v>101,698650297244-59,6701264499136j</v>
      </c>
      <c r="G117" s="39">
        <f t="shared" si="7"/>
        <v>117.91157476189437</v>
      </c>
      <c r="H117" s="39" t="str">
        <f t="shared" si="17"/>
        <v>101,761100042621-60,2222591513354j</v>
      </c>
      <c r="I117" s="39">
        <f t="shared" si="8"/>
        <v>118.24568482263916</v>
      </c>
      <c r="J117" s="39">
        <f t="shared" si="13"/>
        <v>-0.53436856307050373</v>
      </c>
      <c r="K117" s="39">
        <f t="shared" si="14"/>
        <v>29377.938169283832</v>
      </c>
      <c r="L117" s="39"/>
      <c r="M117" s="39">
        <f t="shared" si="18"/>
        <v>-71131.008929792064</v>
      </c>
      <c r="N117" s="39">
        <f t="shared" si="19"/>
        <v>346.35422061039299</v>
      </c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"/>
      <c r="AB117" s="34"/>
      <c r="AC117" s="34"/>
      <c r="AD117" s="34"/>
      <c r="AE117" s="34"/>
    </row>
    <row r="118" spans="1:31" x14ac:dyDescent="0.25">
      <c r="A118" s="3"/>
      <c r="B118" s="39">
        <f t="shared" si="12"/>
        <v>0.48000000000000015</v>
      </c>
      <c r="C118" s="39">
        <f t="shared" si="15"/>
        <v>0.64999999999999958</v>
      </c>
      <c r="D118" s="39" t="str">
        <f t="shared" si="5"/>
        <v>0,65</v>
      </c>
      <c r="E118" s="39" t="str">
        <f t="shared" si="16"/>
        <v>1,65+j</v>
      </c>
      <c r="F118" s="39" t="str">
        <f t="shared" si="6"/>
        <v>103,277367360645-62,5923438549362j</v>
      </c>
      <c r="G118" s="39">
        <f t="shared" si="7"/>
        <v>120.76429984974942</v>
      </c>
      <c r="H118" s="39" t="str">
        <f t="shared" si="17"/>
        <v>103,339817106022-63,144476556358j</v>
      </c>
      <c r="I118" s="39">
        <f t="shared" si="8"/>
        <v>121.1046767019446</v>
      </c>
      <c r="J118" s="39">
        <f t="shared" si="13"/>
        <v>-0.54849561537900071</v>
      </c>
      <c r="K118" s="39">
        <f t="shared" si="14"/>
        <v>28438.831430490347</v>
      </c>
      <c r="L118" s="39"/>
      <c r="M118" s="39">
        <f t="shared" si="18"/>
        <v>-72234.532157109381</v>
      </c>
      <c r="N118" s="39">
        <f t="shared" si="19"/>
        <v>348.17800696005531</v>
      </c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"/>
      <c r="AB118" s="34"/>
      <c r="AC118" s="34"/>
      <c r="AD118" s="34"/>
      <c r="AE118" s="34"/>
    </row>
    <row r="119" spans="1:31" x14ac:dyDescent="0.25">
      <c r="A119" s="3"/>
      <c r="B119" s="39">
        <f t="shared" si="12"/>
        <v>0.50000000000000011</v>
      </c>
      <c r="C119" s="39">
        <f t="shared" si="15"/>
        <v>0.59999999999999976</v>
      </c>
      <c r="D119" s="39" t="str">
        <f t="shared" si="5"/>
        <v>0,6</v>
      </c>
      <c r="E119" s="39" t="str">
        <f t="shared" si="16"/>
        <v>1,6+j</v>
      </c>
      <c r="F119" s="39" t="str">
        <f t="shared" si="6"/>
        <v>104,719101123596-65,4494382022472j</v>
      </c>
      <c r="G119" s="39">
        <f t="shared" si="7"/>
        <v>123.48975302074136</v>
      </c>
      <c r="H119" s="39" t="str">
        <f t="shared" si="17"/>
        <v>104,781550868973-66,001570903669j</v>
      </c>
      <c r="I119" s="39">
        <f t="shared" si="8"/>
        <v>123.83610444559061</v>
      </c>
      <c r="J119" s="39">
        <f t="shared" si="13"/>
        <v>-0.56211291255134799</v>
      </c>
      <c r="K119" s="39">
        <f t="shared" si="14"/>
        <v>27449.494382022647</v>
      </c>
      <c r="L119" s="39"/>
      <c r="M119" s="39">
        <f t="shared" si="18"/>
        <v>-73242.304057412126</v>
      </c>
      <c r="N119" s="39">
        <f t="shared" si="19"/>
        <v>349.50812518889256</v>
      </c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"/>
      <c r="AB119" s="34"/>
      <c r="AC119" s="34"/>
      <c r="AD119" s="34"/>
      <c r="AE119" s="34"/>
    </row>
    <row r="120" spans="1:31" x14ac:dyDescent="0.25">
      <c r="A120" s="3"/>
      <c r="B120" s="39">
        <f t="shared" si="12"/>
        <v>0.52000000000000013</v>
      </c>
      <c r="C120" s="39">
        <f t="shared" si="15"/>
        <v>0.55384615384615354</v>
      </c>
      <c r="D120" s="39" t="str">
        <f t="shared" si="5"/>
        <v>0,553846153846154</v>
      </c>
      <c r="E120" s="39" t="str">
        <f t="shared" si="16"/>
        <v>1,55384615384615+j</v>
      </c>
      <c r="F120" s="39" t="str">
        <f t="shared" si="6"/>
        <v>106,033897130182-68,2396367669488j</v>
      </c>
      <c r="G120" s="39">
        <f t="shared" si="7"/>
        <v>126.09454931399345</v>
      </c>
      <c r="H120" s="39" t="str">
        <f t="shared" si="17"/>
        <v>106,096346875559-68,7917694683706j</v>
      </c>
      <c r="I120" s="39">
        <f t="shared" si="8"/>
        <v>126.44659887449875</v>
      </c>
      <c r="J120" s="39">
        <f t="shared" si="13"/>
        <v>-0.57524230634083129</v>
      </c>
      <c r="K120" s="39">
        <f t="shared" si="14"/>
        <v>26418.187993900072</v>
      </c>
      <c r="L120" s="39"/>
      <c r="M120" s="39">
        <f t="shared" si="18"/>
        <v>-74161.346466015748</v>
      </c>
      <c r="N120" s="39">
        <f t="shared" si="19"/>
        <v>350.39243453101062</v>
      </c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"/>
      <c r="AB120" s="34"/>
      <c r="AC120" s="34"/>
      <c r="AD120" s="34"/>
      <c r="AE120" s="34"/>
    </row>
    <row r="121" spans="1:31" x14ac:dyDescent="0.25">
      <c r="A121" s="3"/>
      <c r="B121" s="39">
        <f t="shared" si="12"/>
        <v>0.54000000000000015</v>
      </c>
      <c r="C121" s="39">
        <f t="shared" si="15"/>
        <v>0.51111111111111085</v>
      </c>
      <c r="D121" s="39" t="str">
        <f t="shared" si="5"/>
        <v>0,511111111111111</v>
      </c>
      <c r="E121" s="39" t="str">
        <f t="shared" si="16"/>
        <v>1,51111111111111+j</v>
      </c>
      <c r="F121" s="39" t="str">
        <f t="shared" si="6"/>
        <v>107,231162580839-70,9617987667319j</v>
      </c>
      <c r="G121" s="39">
        <f t="shared" si="7"/>
        <v>128.58498789768763</v>
      </c>
      <c r="H121" s="39" t="str">
        <f t="shared" si="17"/>
        <v>107,293612326216-71,5139314681537j</v>
      </c>
      <c r="I121" s="39">
        <f t="shared" si="8"/>
        <v>128.94247415045251</v>
      </c>
      <c r="J121" s="39">
        <f t="shared" si="13"/>
        <v>-0.58790488490338078</v>
      </c>
      <c r="K121" s="39">
        <f t="shared" si="14"/>
        <v>25352.285306060978</v>
      </c>
      <c r="L121" s="39"/>
      <c r="M121" s="39">
        <f t="shared" si="18"/>
        <v>-74998.235016024992</v>
      </c>
      <c r="N121" s="39">
        <f t="shared" si="19"/>
        <v>350.87482864127475</v>
      </c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"/>
      <c r="AB121" s="34"/>
      <c r="AC121" s="34"/>
      <c r="AD121" s="34"/>
      <c r="AE121" s="34"/>
    </row>
    <row r="122" spans="1:31" x14ac:dyDescent="0.25">
      <c r="A122" s="3"/>
      <c r="B122" s="39">
        <f t="shared" si="12"/>
        <v>0.56000000000000016</v>
      </c>
      <c r="C122" s="39">
        <f t="shared" si="15"/>
        <v>0.47142857142857114</v>
      </c>
      <c r="D122" s="39" t="str">
        <f t="shared" si="5"/>
        <v>0,471428571428571</v>
      </c>
      <c r="E122" s="39" t="str">
        <f t="shared" si="16"/>
        <v>1,47142857142857+j</v>
      </c>
      <c r="F122" s="39" t="str">
        <f t="shared" si="6"/>
        <v>108,319685343994-73,6153201366949j</v>
      </c>
      <c r="G122" s="39">
        <f t="shared" si="7"/>
        <v>130.96705536832516</v>
      </c>
      <c r="H122" s="39" t="str">
        <f t="shared" si="17"/>
        <v>108,382135089371-74,1674528381167j</v>
      </c>
      <c r="I122" s="39">
        <f t="shared" si="8"/>
        <v>131.32973108563394</v>
      </c>
      <c r="J122" s="39">
        <f t="shared" si="13"/>
        <v>-0.60012094341198863</v>
      </c>
      <c r="K122" s="39">
        <f t="shared" si="14"/>
        <v>24258.351279902054</v>
      </c>
      <c r="L122" s="39"/>
      <c r="M122" s="39">
        <f t="shared" si="18"/>
        <v>-75759.112427470318</v>
      </c>
      <c r="N122" s="39">
        <f t="shared" si="19"/>
        <v>350.99548970384819</v>
      </c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"/>
      <c r="AB122" s="34"/>
      <c r="AC122" s="34"/>
      <c r="AD122" s="34"/>
      <c r="AE122" s="34"/>
    </row>
    <row r="123" spans="1:31" x14ac:dyDescent="0.25">
      <c r="A123" s="3"/>
      <c r="B123" s="39">
        <f t="shared" si="12"/>
        <v>0.58000000000000018</v>
      </c>
      <c r="C123" s="39">
        <f t="shared" si="15"/>
        <v>0.43448275862068936</v>
      </c>
      <c r="D123" s="39" t="str">
        <f t="shared" si="5"/>
        <v>0,434482758620689</v>
      </c>
      <c r="E123" s="39" t="str">
        <f t="shared" si="16"/>
        <v>1,43448275862069+j</v>
      </c>
      <c r="F123" s="39" t="str">
        <f t="shared" si="6"/>
        <v>109,307657608611-76,2000497752337j</v>
      </c>
      <c r="G123" s="39">
        <f t="shared" si="7"/>
        <v>133.2464318382651</v>
      </c>
      <c r="H123" s="39" t="str">
        <f t="shared" si="17"/>
        <v>109,370107353988-76,7521824766555j</v>
      </c>
      <c r="I123" s="39">
        <f t="shared" si="8"/>
        <v>133.61406324767123</v>
      </c>
      <c r="J123" s="39">
        <f t="shared" si="13"/>
        <v>-0.61190996943335396</v>
      </c>
      <c r="K123" s="39">
        <f t="shared" si="14"/>
        <v>23142.217875530754</v>
      </c>
      <c r="L123" s="39"/>
      <c r="M123" s="39">
        <f t="shared" si="18"/>
        <v>-76449.70504043762</v>
      </c>
      <c r="N123" s="39">
        <f t="shared" si="19"/>
        <v>350.7911427742398</v>
      </c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"/>
      <c r="AB123" s="34"/>
      <c r="AC123" s="34"/>
      <c r="AD123" s="34"/>
      <c r="AE123" s="34"/>
    </row>
    <row r="124" spans="1:31" x14ac:dyDescent="0.25">
      <c r="A124" s="3"/>
      <c r="B124" s="39">
        <f t="shared" si="12"/>
        <v>0.6000000000000002</v>
      </c>
      <c r="C124" s="39">
        <f t="shared" si="15"/>
        <v>0.39999999999999969</v>
      </c>
      <c r="D124" s="39" t="str">
        <f t="shared" si="5"/>
        <v>0,4</v>
      </c>
      <c r="E124" s="39" t="str">
        <f t="shared" si="16"/>
        <v>1,4+j</v>
      </c>
      <c r="F124" s="39" t="str">
        <f t="shared" si="6"/>
        <v>110,202702702703-78,7162162162162j</v>
      </c>
      <c r="G124" s="39">
        <f t="shared" si="7"/>
        <v>135.4284991365497</v>
      </c>
      <c r="H124" s="39" t="str">
        <f t="shared" si="17"/>
        <v>110,26515244808-79,268348917638j</v>
      </c>
      <c r="I124" s="39">
        <f t="shared" si="8"/>
        <v>135.80086518327755</v>
      </c>
      <c r="J124" s="39">
        <f t="shared" si="13"/>
        <v>-0.62329063979679333</v>
      </c>
      <c r="K124" s="39">
        <f t="shared" si="14"/>
        <v>22009.054054054115</v>
      </c>
      <c r="L124" s="39"/>
      <c r="M124" s="39">
        <f t="shared" si="18"/>
        <v>-77075.341561207926</v>
      </c>
      <c r="N124" s="39">
        <f t="shared" si="19"/>
        <v>350.29530565102851</v>
      </c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"/>
      <c r="AB124" s="34"/>
      <c r="AC124" s="34"/>
      <c r="AD124" s="34"/>
      <c r="AE124" s="34"/>
    </row>
    <row r="125" spans="1:31" x14ac:dyDescent="0.25">
      <c r="A125" s="3"/>
      <c r="B125" s="39">
        <f t="shared" si="12"/>
        <v>0.62000000000000022</v>
      </c>
      <c r="C125" s="39">
        <f t="shared" si="15"/>
        <v>0.36774193548387063</v>
      </c>
      <c r="D125" s="39" t="str">
        <f t="shared" si="5"/>
        <v>0,367741935483871</v>
      </c>
      <c r="E125" s="39" t="str">
        <f t="shared" si="16"/>
        <v>1,36774193548387+j</v>
      </c>
      <c r="F125" s="39" t="str">
        <f t="shared" si="6"/>
        <v>111,011903898853-81,1643636996332j</v>
      </c>
      <c r="G125" s="39">
        <f t="shared" si="7"/>
        <v>137.51835056462286</v>
      </c>
      <c r="H125" s="39" t="str">
        <f t="shared" si="17"/>
        <v>111,07435364423-81,716496401055j</v>
      </c>
      <c r="I125" s="39">
        <f t="shared" si="8"/>
        <v>137.89524220054551</v>
      </c>
      <c r="J125" s="39">
        <f t="shared" si="13"/>
        <v>-0.63428082635148231</v>
      </c>
      <c r="K125" s="39">
        <f t="shared" si="14"/>
        <v>20863.430599254698</v>
      </c>
      <c r="L125" s="39"/>
      <c r="M125" s="39">
        <f t="shared" si="18"/>
        <v>-77640.973197316765</v>
      </c>
      <c r="N125" s="39">
        <f t="shared" si="19"/>
        <v>349.53853086029483</v>
      </c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"/>
      <c r="AB125" s="34"/>
      <c r="AC125" s="34"/>
      <c r="AD125" s="34"/>
      <c r="AE125" s="34"/>
    </row>
    <row r="126" spans="1:31" x14ac:dyDescent="0.25">
      <c r="A126" s="3"/>
      <c r="B126" s="39">
        <f t="shared" si="12"/>
        <v>0.64000000000000024</v>
      </c>
      <c r="C126" s="39">
        <f t="shared" si="15"/>
        <v>0.33749999999999963</v>
      </c>
      <c r="D126" s="39" t="str">
        <f t="shared" si="5"/>
        <v>0,3375</v>
      </c>
      <c r="E126" s="39" t="str">
        <f t="shared" si="16"/>
        <v>1,3375+j</v>
      </c>
      <c r="F126" s="39" t="str">
        <f t="shared" si="6"/>
        <v>111,74183427643-83,5452966552748j</v>
      </c>
      <c r="G126" s="39">
        <f t="shared" si="7"/>
        <v>139.52080174898302</v>
      </c>
      <c r="H126" s="39" t="str">
        <f t="shared" si="17"/>
        <v>111,804284021807-84,0974293566966j</v>
      </c>
      <c r="I126" s="39">
        <f t="shared" si="8"/>
        <v>139.90202125070769</v>
      </c>
      <c r="J126" s="39">
        <f t="shared" si="13"/>
        <v>-0.6448976085295256</v>
      </c>
      <c r="K126" s="39">
        <f t="shared" si="14"/>
        <v>19709.379797187492</v>
      </c>
      <c r="L126" s="39"/>
      <c r="M126" s="39">
        <f t="shared" si="18"/>
        <v>-78151.194531243091</v>
      </c>
      <c r="N126" s="39">
        <f t="shared" si="19"/>
        <v>348.54863736692494</v>
      </c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"/>
      <c r="AB126" s="34"/>
      <c r="AC126" s="34"/>
      <c r="AD126" s="34"/>
      <c r="AE126" s="34"/>
    </row>
    <row r="127" spans="1:31" x14ac:dyDescent="0.25">
      <c r="A127" s="3"/>
      <c r="B127" s="39">
        <f t="shared" si="12"/>
        <v>0.66000000000000025</v>
      </c>
      <c r="C127" s="39">
        <f t="shared" si="15"/>
        <v>0.30909090909090875</v>
      </c>
      <c r="D127" s="39" t="str">
        <f t="shared" si="5"/>
        <v>0,309090909090909</v>
      </c>
      <c r="E127" s="39" t="str">
        <f t="shared" si="16"/>
        <v>1,30909090909091+j</v>
      </c>
      <c r="F127" s="39" t="str">
        <f t="shared" si="6"/>
        <v>112,398586916799-85,8600316725544j</v>
      </c>
      <c r="G127" s="39">
        <f t="shared" si="7"/>
        <v>141.44040221840882</v>
      </c>
      <c r="H127" s="39" t="str">
        <f t="shared" si="17"/>
        <v>112,461036662176-86,4121643739762j</v>
      </c>
      <c r="I127" s="39">
        <f t="shared" si="8"/>
        <v>141.82576253603</v>
      </c>
      <c r="J127" s="39">
        <f t="shared" si="13"/>
        <v>-0.65515729104559173</v>
      </c>
      <c r="K127" s="39">
        <f t="shared" si="14"/>
        <v>18550.450115726679</v>
      </c>
      <c r="L127" s="39"/>
      <c r="M127" s="39">
        <f t="shared" si="18"/>
        <v>-78610.264626861026</v>
      </c>
      <c r="N127" s="39">
        <f t="shared" si="19"/>
        <v>347.35093044212095</v>
      </c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"/>
      <c r="AB127" s="34"/>
      <c r="AC127" s="34"/>
      <c r="AD127" s="34"/>
      <c r="AE127" s="34"/>
    </row>
    <row r="128" spans="1:31" x14ac:dyDescent="0.25">
      <c r="A128" s="3"/>
      <c r="B128" s="39">
        <f t="shared" si="12"/>
        <v>0.68000000000000027</v>
      </c>
      <c r="C128" s="39">
        <f t="shared" si="15"/>
        <v>0.28235294117647025</v>
      </c>
      <c r="D128" s="39" t="str">
        <f t="shared" si="5"/>
        <v>0,28235294117647</v>
      </c>
      <c r="E128" s="39" t="str">
        <f t="shared" si="16"/>
        <v>1,28235294117647+j</v>
      </c>
      <c r="F128" s="39" t="str">
        <f t="shared" si="6"/>
        <v>112,987804878049-88,109756097561j</v>
      </c>
      <c r="G128" s="39">
        <f t="shared" si="7"/>
        <v>143.28144740590724</v>
      </c>
      <c r="H128" s="39" t="str">
        <f t="shared" si="17"/>
        <v>113,050254623426-88,6618887989828j</v>
      </c>
      <c r="I128" s="39">
        <f t="shared" si="8"/>
        <v>143.67077154322183</v>
      </c>
      <c r="J128" s="39">
        <f t="shared" si="13"/>
        <v>-0.66507542539364861</v>
      </c>
      <c r="K128" s="39">
        <f t="shared" si="14"/>
        <v>17389.756097561003</v>
      </c>
      <c r="L128" s="39"/>
      <c r="M128" s="39">
        <f t="shared" si="18"/>
        <v>-79022.127981774771</v>
      </c>
      <c r="N128" s="39">
        <f t="shared" si="19"/>
        <v>345.9684087530045</v>
      </c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"/>
      <c r="AB128" s="34"/>
      <c r="AC128" s="34"/>
      <c r="AD128" s="34"/>
      <c r="AE128" s="34"/>
    </row>
    <row r="129" spans="1:31" x14ac:dyDescent="0.25">
      <c r="A129" s="3"/>
      <c r="B129" s="39">
        <f t="shared" si="12"/>
        <v>0.70000000000000029</v>
      </c>
      <c r="C129" s="39">
        <f t="shared" si="15"/>
        <v>0.25714285714285678</v>
      </c>
      <c r="D129" s="39" t="str">
        <f t="shared" si="5"/>
        <v>0,257142857142857</v>
      </c>
      <c r="E129" s="39" t="str">
        <f t="shared" si="16"/>
        <v>1,25714285714286+j</v>
      </c>
      <c r="F129" s="39" t="str">
        <f t="shared" si="6"/>
        <v>113,514710534641-90,2957924707368j</v>
      </c>
      <c r="G129" s="39">
        <f t="shared" si="7"/>
        <v>145.04799083641836</v>
      </c>
      <c r="H129" s="39" t="str">
        <f t="shared" si="17"/>
        <v>113,577160280018-90,8479251721586j</v>
      </c>
      <c r="I129" s="39">
        <f t="shared" si="8"/>
        <v>145.44111126280296</v>
      </c>
      <c r="J129" s="39">
        <f t="shared" si="13"/>
        <v>-0.67466683406674877</v>
      </c>
      <c r="K129" s="39">
        <f t="shared" si="14"/>
        <v>16230.023726668722</v>
      </c>
      <c r="L129" s="39"/>
      <c r="M129" s="39">
        <f t="shared" si="18"/>
        <v>-79390.435035732589</v>
      </c>
      <c r="N129" s="39">
        <f t="shared" si="19"/>
        <v>344.42195822948139</v>
      </c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"/>
      <c r="AB129" s="34"/>
      <c r="AC129" s="34"/>
      <c r="AD129" s="34"/>
      <c r="AE129" s="34"/>
    </row>
    <row r="130" spans="1:31" x14ac:dyDescent="0.25">
      <c r="A130" s="3"/>
      <c r="B130" s="39">
        <f t="shared" si="12"/>
        <v>0.72000000000000031</v>
      </c>
      <c r="C130" s="39">
        <f t="shared" si="15"/>
        <v>0.23333333333333298</v>
      </c>
      <c r="D130" s="39" t="str">
        <f t="shared" si="5"/>
        <v>0,233333333333333</v>
      </c>
      <c r="E130" s="39" t="str">
        <f t="shared" si="16"/>
        <v>1,23333333333333+j</v>
      </c>
      <c r="F130" s="39" t="str">
        <f t="shared" si="6"/>
        <v>113,984133979727-92,4195680916706j</v>
      </c>
      <c r="G130" s="39">
        <f t="shared" si="7"/>
        <v>146.74385631214446</v>
      </c>
      <c r="H130" s="39" t="str">
        <f t="shared" si="17"/>
        <v>114,046583725104-92,9717007930924j</v>
      </c>
      <c r="I130" s="39">
        <f t="shared" si="8"/>
        <v>147.14061440583785</v>
      </c>
      <c r="J130" s="39">
        <f t="shared" si="13"/>
        <v>-0.68394563664026697</v>
      </c>
      <c r="K130" s="39">
        <f t="shared" si="14"/>
        <v>15073.631555751486</v>
      </c>
      <c r="L130" s="39"/>
      <c r="M130" s="39">
        <f t="shared" si="18"/>
        <v>-79718.562023847713</v>
      </c>
      <c r="N130" s="39">
        <f t="shared" si="19"/>
        <v>342.730532633444</v>
      </c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"/>
      <c r="AB130" s="34"/>
      <c r="AC130" s="34"/>
      <c r="AD130" s="34"/>
      <c r="AE130" s="34"/>
    </row>
    <row r="131" spans="1:31" x14ac:dyDescent="0.25">
      <c r="A131" s="3"/>
      <c r="B131" s="39">
        <f t="shared" si="12"/>
        <v>0.74000000000000032</v>
      </c>
      <c r="C131" s="39">
        <f t="shared" si="15"/>
        <v>0.21081081081081046</v>
      </c>
      <c r="D131" s="39" t="str">
        <f t="shared" si="5"/>
        <v>0,21081081081081</v>
      </c>
      <c r="E131" s="39" t="str">
        <f t="shared" si="16"/>
        <v>1,21081081081081+j</v>
      </c>
      <c r="F131" s="39" t="str">
        <f t="shared" si="6"/>
        <v>114,400540277959-94,48258906885j</v>
      </c>
      <c r="G131" s="39">
        <f t="shared" si="7"/>
        <v>148.37264994951764</v>
      </c>
      <c r="H131" s="39" t="str">
        <f t="shared" si="17"/>
        <v>114,462990023336-95,0347217702718j</v>
      </c>
      <c r="I131" s="39">
        <f t="shared" si="8"/>
        <v>148.77289547170642</v>
      </c>
      <c r="J131" s="39">
        <f t="shared" si="13"/>
        <v>-0.69292527703271178</v>
      </c>
      <c r="K131" s="39">
        <f t="shared" si="14"/>
        <v>13922.647895167142</v>
      </c>
      <c r="L131" s="39"/>
      <c r="M131" s="39">
        <f t="shared" si="18"/>
        <v>-80009.630026311861</v>
      </c>
      <c r="N131" s="39">
        <f t="shared" si="19"/>
        <v>340.91132102908114</v>
      </c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"/>
      <c r="AB131" s="34"/>
      <c r="AC131" s="34"/>
      <c r="AD131" s="34"/>
      <c r="AE131" s="34"/>
    </row>
    <row r="132" spans="1:31" x14ac:dyDescent="0.25">
      <c r="A132" s="3"/>
      <c r="B132" s="39">
        <f t="shared" si="12"/>
        <v>0.76000000000000034</v>
      </c>
      <c r="C132" s="39">
        <f t="shared" si="15"/>
        <v>0.18947368421052596</v>
      </c>
      <c r="D132" s="39" t="str">
        <f t="shared" si="5"/>
        <v>0,189473684210526</v>
      </c>
      <c r="E132" s="39" t="str">
        <f t="shared" si="16"/>
        <v>1,18947368421053+j</v>
      </c>
      <c r="F132" s="39" t="str">
        <f t="shared" si="6"/>
        <v>114,768055428099-96,4864182802603j</v>
      </c>
      <c r="G132" s="39">
        <f t="shared" si="7"/>
        <v>149.93777195657054</v>
      </c>
      <c r="H132" s="39" t="str">
        <f t="shared" si="17"/>
        <v>114,830505173476-97,0385509816821j</v>
      </c>
      <c r="I132" s="39">
        <f t="shared" si="8"/>
        <v>150.34136255541989</v>
      </c>
      <c r="J132" s="39">
        <f t="shared" si="13"/>
        <v>-0.70161855139971552</v>
      </c>
      <c r="K132" s="39">
        <f t="shared" si="14"/>
        <v>12778.864366339236</v>
      </c>
      <c r="L132" s="39"/>
      <c r="M132" s="39">
        <f t="shared" si="18"/>
        <v>-80266.523116259705</v>
      </c>
      <c r="N132" s="39">
        <f t="shared" si="19"/>
        <v>338.97990255024808</v>
      </c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"/>
      <c r="AB132" s="34"/>
      <c r="AC132" s="34"/>
      <c r="AD132" s="34"/>
      <c r="AE132" s="34"/>
    </row>
    <row r="133" spans="1:31" x14ac:dyDescent="0.25">
      <c r="A133" s="3"/>
      <c r="B133" s="39">
        <f t="shared" si="12"/>
        <v>0.78000000000000036</v>
      </c>
      <c r="C133" s="39">
        <f t="shared" si="15"/>
        <v>0.16923076923076888</v>
      </c>
      <c r="D133" s="39" t="str">
        <f t="shared" si="5"/>
        <v>0,169230769230769</v>
      </c>
      <c r="E133" s="39" t="str">
        <f t="shared" si="16"/>
        <v>1,16923076923077+j</v>
      </c>
      <c r="F133" s="39" t="str">
        <f t="shared" si="6"/>
        <v>115,090490950905-98,4326567343265j</v>
      </c>
      <c r="G133" s="39">
        <f t="shared" si="7"/>
        <v>151.44242806789018</v>
      </c>
      <c r="H133" s="39" t="str">
        <f t="shared" si="17"/>
        <v>115,152940696282-98,9847894357483j</v>
      </c>
      <c r="I133" s="39">
        <f t="shared" si="8"/>
        <v>151.84922881147887</v>
      </c>
      <c r="J133" s="39">
        <f t="shared" si="13"/>
        <v>-0.7100376362316011</v>
      </c>
      <c r="K133" s="39">
        <f t="shared" si="14"/>
        <v>11643.826117388235</v>
      </c>
      <c r="L133" s="39"/>
      <c r="M133" s="39">
        <f t="shared" si="18"/>
        <v>-80491.905546701106</v>
      </c>
      <c r="N133" s="39">
        <f t="shared" si="19"/>
        <v>336.95038899738836</v>
      </c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"/>
      <c r="AB133" s="34"/>
      <c r="AC133" s="34"/>
      <c r="AD133" s="34"/>
      <c r="AE133" s="34"/>
    </row>
    <row r="134" spans="1:31" x14ac:dyDescent="0.25">
      <c r="A134" s="3"/>
      <c r="B134" s="39">
        <f t="shared" si="12"/>
        <v>0.80000000000000038</v>
      </c>
      <c r="C134" s="39">
        <f t="shared" si="15"/>
        <v>0.14999999999999963</v>
      </c>
      <c r="D134" s="39" t="str">
        <f t="shared" si="5"/>
        <v>0,15</v>
      </c>
      <c r="E134" s="39" t="str">
        <f t="shared" si="16"/>
        <v>1,15+j</v>
      </c>
      <c r="F134" s="39" t="str">
        <f t="shared" si="6"/>
        <v>115,371367061356-100,32292787944j</v>
      </c>
      <c r="G134" s="39">
        <f t="shared" si="7"/>
        <v>152.88964057747489</v>
      </c>
      <c r="H134" s="39" t="str">
        <f t="shared" si="17"/>
        <v>115,433816806733-100,875060580862j</v>
      </c>
      <c r="I134" s="39">
        <f t="shared" si="8"/>
        <v>153.29952351446815</v>
      </c>
      <c r="J134" s="39">
        <f t="shared" si="13"/>
        <v>-0.7181941163186798</v>
      </c>
      <c r="K134" s="39">
        <f t="shared" si="14"/>
        <v>10518.858988159231</v>
      </c>
      <c r="L134" s="39"/>
      <c r="M134" s="39">
        <f t="shared" si="18"/>
        <v>-80688.237947906367</v>
      </c>
      <c r="N134" s="39">
        <f t="shared" si="19"/>
        <v>334.8355558860178</v>
      </c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"/>
      <c r="AB134" s="34"/>
      <c r="AC134" s="34"/>
      <c r="AD134" s="34"/>
      <c r="AE134" s="34"/>
    </row>
    <row r="135" spans="1:31" x14ac:dyDescent="0.25">
      <c r="A135" s="3"/>
      <c r="B135" s="39">
        <f t="shared" si="12"/>
        <v>0.8200000000000004</v>
      </c>
      <c r="C135" s="39">
        <f t="shared" si="15"/>
        <v>0.13170731707317038</v>
      </c>
      <c r="D135" s="39" t="str">
        <f t="shared" si="5"/>
        <v>0,13170731707317</v>
      </c>
      <c r="E135" s="39" t="str">
        <f t="shared" si="16"/>
        <v>1,13170731707317+j</v>
      </c>
      <c r="F135" s="39" t="str">
        <f t="shared" si="6"/>
        <v>115,613934417678-102,158864463896j</v>
      </c>
      <c r="G135" s="39">
        <f t="shared" si="7"/>
        <v>154.28225892852302</v>
      </c>
      <c r="H135" s="39" t="str">
        <f t="shared" si="17"/>
        <v>115,676384163055-102,710997165318j</v>
      </c>
      <c r="I135" s="39">
        <f t="shared" si="8"/>
        <v>154.69510267533565</v>
      </c>
      <c r="J135" s="39">
        <f t="shared" si="13"/>
        <v>-0.72609901232443508</v>
      </c>
      <c r="K135" s="39">
        <f t="shared" si="14"/>
        <v>9405.0938976932121</v>
      </c>
      <c r="L135" s="39"/>
      <c r="M135" s="39">
        <f t="shared" si="18"/>
        <v>-80857.792529975442</v>
      </c>
      <c r="N135" s="39">
        <f t="shared" si="19"/>
        <v>332.64696262200403</v>
      </c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"/>
      <c r="AB135" s="34"/>
      <c r="AC135" s="34"/>
      <c r="AD135" s="34"/>
      <c r="AE135" s="34"/>
    </row>
    <row r="136" spans="1:31" x14ac:dyDescent="0.25">
      <c r="A136" s="3"/>
      <c r="B136" s="39">
        <f t="shared" si="12"/>
        <v>0.84000000000000041</v>
      </c>
      <c r="C136" s="39">
        <f t="shared" si="15"/>
        <v>0.11428571428571394</v>
      </c>
      <c r="D136" s="39" t="str">
        <f t="shared" si="5"/>
        <v>0,114285714285714</v>
      </c>
      <c r="E136" s="39" t="str">
        <f t="shared" si="16"/>
        <v>1,11428571428571+j</v>
      </c>
      <c r="F136" s="39" t="str">
        <f t="shared" si="6"/>
        <v>115,821194464676-103,942097596504j</v>
      </c>
      <c r="G136" s="39">
        <f t="shared" si="7"/>
        <v>155.62296983410084</v>
      </c>
      <c r="H136" s="39" t="str">
        <f t="shared" si="17"/>
        <v>115,883644210053-104,494230297926j</v>
      </c>
      <c r="I136" s="39">
        <f t="shared" si="8"/>
        <v>156.03865918726083</v>
      </c>
      <c r="J136" s="39">
        <f t="shared" si="13"/>
        <v>-0.73376280776878366</v>
      </c>
      <c r="K136" s="39">
        <f t="shared" si="14"/>
        <v>8303.4887108521325</v>
      </c>
      <c r="L136" s="39"/>
      <c r="M136" s="39">
        <f t="shared" si="18"/>
        <v>-81002.667302827045</v>
      </c>
      <c r="N136" s="39">
        <f t="shared" si="19"/>
        <v>330.39506250406464</v>
      </c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"/>
      <c r="AB136" s="34"/>
      <c r="AC136" s="34"/>
      <c r="AD136" s="34"/>
      <c r="AE136" s="34"/>
    </row>
    <row r="137" spans="1:31" x14ac:dyDescent="0.25">
      <c r="A137" s="3"/>
      <c r="B137" s="39">
        <f t="shared" si="12"/>
        <v>0.86000000000000043</v>
      </c>
      <c r="C137" s="39">
        <f t="shared" si="15"/>
        <v>9.7674418604650814E-2</v>
      </c>
      <c r="D137" s="39" t="str">
        <f t="shared" si="5"/>
        <v>0,0976744186046508</v>
      </c>
      <c r="E137" s="39" t="str">
        <f t="shared" si="16"/>
        <v>1,09767441860465+j</v>
      </c>
      <c r="F137" s="39" t="str">
        <f t="shared" si="6"/>
        <v>115,995918407394-105,674247701651j</v>
      </c>
      <c r="G137" s="39">
        <f t="shared" si="7"/>
        <v>156.91430691458538</v>
      </c>
      <c r="H137" s="39" t="str">
        <f t="shared" si="17"/>
        <v>116,058368152771-106,226380403073j</v>
      </c>
      <c r="I137" s="39">
        <f t="shared" si="8"/>
        <v>157.33273248698919</v>
      </c>
      <c r="J137" s="39">
        <f t="shared" si="13"/>
        <v>-0.74119547527360607</v>
      </c>
      <c r="K137" s="39">
        <f t="shared" si="14"/>
        <v>7214.847823314095</v>
      </c>
      <c r="L137" s="39"/>
      <c r="M137" s="39">
        <f t="shared" si="18"/>
        <v>-81124.799338786921</v>
      </c>
      <c r="N137" s="39">
        <f t="shared" si="19"/>
        <v>328.08930325886712</v>
      </c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"/>
      <c r="AB137" s="34"/>
      <c r="AC137" s="34"/>
      <c r="AD137" s="34"/>
      <c r="AE137" s="34"/>
    </row>
    <row r="138" spans="1:31" x14ac:dyDescent="0.25">
      <c r="A138" s="3"/>
      <c r="B138" s="39">
        <f t="shared" si="12"/>
        <v>0.88000000000000045</v>
      </c>
      <c r="C138" s="39">
        <f t="shared" si="15"/>
        <v>8.1818181818181471E-2</v>
      </c>
      <c r="D138" s="39" t="str">
        <f t="shared" si="5"/>
        <v>0,0818181818181815</v>
      </c>
      <c r="E138" s="39" t="str">
        <f t="shared" si="16"/>
        <v>1,08181818181818+j</v>
      </c>
      <c r="F138" s="39" t="str">
        <f t="shared" si="6"/>
        <v>116,140664864247-107,356917101405j</v>
      </c>
      <c r="G138" s="39">
        <f t="shared" si="7"/>
        <v>158.15865984708924</v>
      </c>
      <c r="H138" s="39" t="str">
        <f t="shared" si="17"/>
        <v>116,203114609624-107,909049802827j</v>
      </c>
      <c r="I138" s="39">
        <f t="shared" si="8"/>
        <v>158.57971772684681</v>
      </c>
      <c r="J138" s="39">
        <f t="shared" si="13"/>
        <v>-0.74840650196356062</v>
      </c>
      <c r="K138" s="39">
        <f t="shared" si="14"/>
        <v>6139.83968622667</v>
      </c>
      <c r="L138" s="39"/>
      <c r="M138" s="39">
        <f t="shared" si="18"/>
        <v>-81225.977112127177</v>
      </c>
      <c r="N138" s="39">
        <f t="shared" si="19"/>
        <v>325.73821880347458</v>
      </c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"/>
      <c r="AB138" s="34"/>
      <c r="AC138" s="34"/>
      <c r="AD138" s="34"/>
      <c r="AE138" s="34"/>
    </row>
    <row r="139" spans="1:31" x14ac:dyDescent="0.25">
      <c r="A139" s="3"/>
      <c r="B139" s="39">
        <f t="shared" si="12"/>
        <v>0.90000000000000047</v>
      </c>
      <c r="C139" s="39">
        <f t="shared" si="15"/>
        <v>6.6666666666666319E-2</v>
      </c>
      <c r="D139" s="39" t="str">
        <f t="shared" si="5"/>
        <v>0,0666666666666663</v>
      </c>
      <c r="E139" s="39" t="str">
        <f t="shared" si="16"/>
        <v>1,06666666666667+j</v>
      </c>
      <c r="F139" s="39" t="str">
        <f t="shared" si="6"/>
        <v>116,257796257796-108,991683991684j</v>
      </c>
      <c r="G139" s="39">
        <f t="shared" si="7"/>
        <v>159.35828302934968</v>
      </c>
      <c r="H139" s="39" t="str">
        <f t="shared" si="17"/>
        <v>116,320246003173-109,543816693106j</v>
      </c>
      <c r="I139" s="39">
        <f t="shared" si="8"/>
        <v>159.78187445993834</v>
      </c>
      <c r="J139" s="39">
        <f t="shared" si="13"/>
        <v>-0.75540491394768194</v>
      </c>
      <c r="K139" s="39">
        <f t="shared" si="14"/>
        <v>5079.0124740124375</v>
      </c>
      <c r="L139" s="39"/>
      <c r="M139" s="39">
        <f t="shared" si="18"/>
        <v>-81307.851956217928</v>
      </c>
      <c r="N139" s="39">
        <f t="shared" si="19"/>
        <v>323.34951290863984</v>
      </c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"/>
      <c r="AB139" s="34"/>
      <c r="AC139" s="34"/>
      <c r="AD139" s="34"/>
      <c r="AE139" s="34"/>
    </row>
    <row r="140" spans="1:31" x14ac:dyDescent="0.25">
      <c r="A140" s="3"/>
      <c r="B140" s="39">
        <f t="shared" si="12"/>
        <v>0.92000000000000048</v>
      </c>
      <c r="C140" s="39">
        <f t="shared" si="15"/>
        <v>5.2173913043477918E-2</v>
      </c>
      <c r="D140" s="39" t="str">
        <f t="shared" si="5"/>
        <v>0,0521739130434779</v>
      </c>
      <c r="E140" s="39" t="str">
        <f t="shared" si="16"/>
        <v>1,05217391304348+j</v>
      </c>
      <c r="F140" s="39" t="str">
        <f t="shared" si="6"/>
        <v>116,349494007034-110,58009760999j</v>
      </c>
      <c r="G140" s="39">
        <f t="shared" si="7"/>
        <v>160.5153037661137</v>
      </c>
      <c r="H140" s="39" t="str">
        <f t="shared" si="17"/>
        <v>116,411943752411-111,132230311412j</v>
      </c>
      <c r="I140" s="39">
        <f t="shared" si="8"/>
        <v>160.94133484659318</v>
      </c>
      <c r="J140" s="39">
        <f t="shared" si="13"/>
        <v>-0.76219929983373191</v>
      </c>
      <c r="K140" s="39">
        <f t="shared" si="14"/>
        <v>4032.808081533014</v>
      </c>
      <c r="L140" s="39"/>
      <c r="M140" s="39">
        <f t="shared" si="18"/>
        <v>-81371.948682935297</v>
      </c>
      <c r="N140" s="39">
        <f t="shared" si="19"/>
        <v>320.93013540769044</v>
      </c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"/>
      <c r="AB140" s="34"/>
      <c r="AC140" s="34"/>
      <c r="AD140" s="34"/>
      <c r="AE140" s="34"/>
    </row>
    <row r="141" spans="1:31" x14ac:dyDescent="0.25">
      <c r="A141" s="3"/>
      <c r="B141" s="39">
        <f t="shared" si="12"/>
        <v>0.9400000000000005</v>
      </c>
      <c r="C141" s="39">
        <f t="shared" si="15"/>
        <v>3.8297872340425192E-2</v>
      </c>
      <c r="D141" s="39" t="str">
        <f t="shared" si="5"/>
        <v>0,0382978723404252</v>
      </c>
      <c r="E141" s="39" t="str">
        <f t="shared" si="16"/>
        <v>1,03829787234043+j</v>
      </c>
      <c r="F141" s="39" t="str">
        <f t="shared" si="6"/>
        <v>116,417772588249-112,123674419009j</v>
      </c>
      <c r="G141" s="39">
        <f t="shared" si="7"/>
        <v>161.63172999021324</v>
      </c>
      <c r="H141" s="39" t="str">
        <f t="shared" si="17"/>
        <v>116,480222333626-112,675807120431j</v>
      </c>
      <c r="I141" s="39">
        <f t="shared" si="8"/>
        <v>162.06011139429563</v>
      </c>
      <c r="J141" s="39">
        <f t="shared" si="13"/>
        <v>-0.76879783324807938</v>
      </c>
      <c r="K141" s="39">
        <f t="shared" si="14"/>
        <v>3001.5746202977966</v>
      </c>
      <c r="L141" s="39"/>
      <c r="M141" s="39">
        <f t="shared" si="18"/>
        <v>-81419.675411204575</v>
      </c>
      <c r="N141" s="39">
        <f t="shared" si="19"/>
        <v>318.48635156218597</v>
      </c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"/>
      <c r="AB141" s="34"/>
      <c r="AC141" s="34"/>
      <c r="AD141" s="34"/>
      <c r="AE141" s="34"/>
    </row>
    <row r="142" spans="1:31" x14ac:dyDescent="0.25">
      <c r="A142" s="3"/>
      <c r="B142" s="39">
        <f t="shared" si="12"/>
        <v>0.96000000000000052</v>
      </c>
      <c r="C142" s="39">
        <f t="shared" si="15"/>
        <v>2.4999999999999661E-2</v>
      </c>
      <c r="D142" s="39" t="str">
        <f t="shared" si="5"/>
        <v>0,0249999999999997</v>
      </c>
      <c r="E142" s="39" t="str">
        <f t="shared" si="16"/>
        <v>1,025+j</v>
      </c>
      <c r="F142" s="39" t="str">
        <f t="shared" si="6"/>
        <v>116,464492532764-113,623895153917j</v>
      </c>
      <c r="G142" s="39">
        <f t="shared" si="7"/>
        <v>162.70945753355139</v>
      </c>
      <c r="H142" s="39" t="str">
        <f t="shared" si="17"/>
        <v>116,526942278141-114,176027855339j</v>
      </c>
      <c r="I142" s="39">
        <f t="shared" si="8"/>
        <v>163.14010424636965</v>
      </c>
      <c r="J142" s="39">
        <f t="shared" si="13"/>
        <v>-0.77520829435050187</v>
      </c>
      <c r="K142" s="39">
        <f t="shared" si="14"/>
        <v>1985.5775678146654</v>
      </c>
      <c r="L142" s="39"/>
      <c r="M142" s="39">
        <f t="shared" si="18"/>
        <v>-81452.332652420577</v>
      </c>
      <c r="N142" s="39">
        <f t="shared" si="19"/>
        <v>316.02380515911045</v>
      </c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"/>
      <c r="AB142" s="34"/>
      <c r="AC142" s="34"/>
      <c r="AD142" s="34"/>
      <c r="AE142" s="34"/>
    </row>
    <row r="143" spans="1:31" x14ac:dyDescent="0.25">
      <c r="A143" s="3"/>
      <c r="B143" s="39">
        <f t="shared" si="12"/>
        <v>0.98000000000000054</v>
      </c>
      <c r="C143" s="39">
        <f t="shared" si="15"/>
        <v>1.2244897959183338E-2</v>
      </c>
      <c r="D143" s="39" t="str">
        <f t="shared" si="5"/>
        <v>0,0122448979591833</v>
      </c>
      <c r="E143" s="39" t="str">
        <f t="shared" si="16"/>
        <v>1,01224489795918+j</v>
      </c>
      <c r="F143" s="39" t="str">
        <f t="shared" si="6"/>
        <v>116,491372429626-115,082202601849j</v>
      </c>
      <c r="G143" s="39">
        <f t="shared" si="7"/>
        <v>163.75027696535614</v>
      </c>
      <c r="H143" s="39" t="str">
        <f t="shared" si="17"/>
        <v>116,553822175003-115,634335303271j</v>
      </c>
      <c r="I143" s="39">
        <f t="shared" si="8"/>
        <v>164.18310803682431</v>
      </c>
      <c r="J143" s="39">
        <f t="shared" si="13"/>
        <v>-0.7814380903463759</v>
      </c>
      <c r="K143" s="39">
        <f t="shared" si="14"/>
        <v>985.00970961661631</v>
      </c>
      <c r="L143" s="39"/>
      <c r="M143" s="39">
        <f t="shared" si="18"/>
        <v>-81471.121700327087</v>
      </c>
      <c r="N143" s="39">
        <f t="shared" si="19"/>
        <v>313.54757587669673</v>
      </c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"/>
      <c r="AB143" s="34"/>
      <c r="AC143" s="34"/>
      <c r="AD143" s="34"/>
      <c r="AE143" s="34"/>
    </row>
    <row r="144" spans="1:31" x14ac:dyDescent="0.25">
      <c r="A144" s="3"/>
      <c r="B144" s="39">
        <f t="shared" si="12"/>
        <v>1.0000000000000004</v>
      </c>
      <c r="C144" s="39">
        <f t="shared" si="15"/>
        <v>-2.6645352591003746E-16</v>
      </c>
      <c r="D144" s="39" t="str">
        <f t="shared" si="5"/>
        <v>-2,66453525910037E-16</v>
      </c>
      <c r="E144" s="39" t="str">
        <f t="shared" si="16"/>
        <v>1+j</v>
      </c>
      <c r="F144" s="39" t="str">
        <f t="shared" si="6"/>
        <v>116,5-116,5j</v>
      </c>
      <c r="G144" s="39">
        <f t="shared" si="7"/>
        <v>164.7558800164656</v>
      </c>
      <c r="H144" s="39" t="str">
        <f t="shared" si="17"/>
        <v>116,562449745377-117,052132701422j</v>
      </c>
      <c r="I144" s="39">
        <f t="shared" si="8"/>
        <v>165.19081833018092</v>
      </c>
      <c r="J144" s="39">
        <f t="shared" si="13"/>
        <v>-0.78749427500891245</v>
      </c>
      <c r="K144" s="39">
        <f t="shared" si="14"/>
        <v>-2.1698243202195044E-11</v>
      </c>
      <c r="L144" s="39"/>
      <c r="M144" s="39">
        <f t="shared" si="18"/>
        <v>-81477.152372018507</v>
      </c>
      <c r="N144" s="39">
        <f t="shared" si="19"/>
        <v>311.06223141811233</v>
      </c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"/>
      <c r="AB144" s="34"/>
      <c r="AC144" s="34"/>
      <c r="AD144" s="34"/>
      <c r="AE144" s="34"/>
    </row>
    <row r="145" spans="1:31" x14ac:dyDescent="0.25">
      <c r="A145" s="3"/>
      <c r="B145" s="39">
        <f t="shared" si="12"/>
        <v>1.0200000000000005</v>
      </c>
      <c r="C145" s="39">
        <f t="shared" si="15"/>
        <v>-1.1764705882353206E-2</v>
      </c>
      <c r="D145" s="39" t="str">
        <f t="shared" si="5"/>
        <v>-0,0117647058823532</v>
      </c>
      <c r="E145" s="39" t="str">
        <f t="shared" si="16"/>
        <v>0,988235294117647+j</v>
      </c>
      <c r="F145" s="39" t="str">
        <f t="shared" si="6"/>
        <v>116,491842307962-117,878649954485j</v>
      </c>
      <c r="G145" s="39">
        <f t="shared" si="7"/>
        <v>165.72786560924234</v>
      </c>
      <c r="H145" s="39" t="str">
        <f t="shared" si="17"/>
        <v>116,554292053339-118,430782655907j</v>
      </c>
      <c r="I145" s="39">
        <f t="shared" si="8"/>
        <v>166.16483766593257</v>
      </c>
      <c r="J145" s="39">
        <f t="shared" si="13"/>
        <v>-0.79338356723156478</v>
      </c>
      <c r="K145" s="39">
        <f t="shared" si="14"/>
        <v>-969.37854491984865</v>
      </c>
      <c r="L145" s="39"/>
      <c r="M145" s="39">
        <f t="shared" si="18"/>
        <v>-81471.450145283961</v>
      </c>
      <c r="N145" s="39">
        <f t="shared" si="19"/>
        <v>308.57187487500431</v>
      </c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"/>
      <c r="AB145" s="34"/>
      <c r="AC145" s="34"/>
      <c r="AD145" s="34"/>
      <c r="AE145" s="34"/>
    </row>
    <row r="146" spans="1:31" x14ac:dyDescent="0.25">
      <c r="A146" s="3"/>
      <c r="B146" s="39">
        <f t="shared" si="12"/>
        <v>1.0400000000000005</v>
      </c>
      <c r="C146" s="39">
        <f t="shared" si="15"/>
        <v>-2.3076923076923345E-2</v>
      </c>
      <c r="D146" s="39" t="str">
        <f t="shared" si="5"/>
        <v>-0,0230769230769233</v>
      </c>
      <c r="E146" s="39" t="str">
        <f t="shared" si="16"/>
        <v>0,976923076923077+j</v>
      </c>
      <c r="F146" s="39" t="str">
        <f t="shared" si="6"/>
        <v>116,468255169699-119,219473795755j</v>
      </c>
      <c r="G146" s="39">
        <f t="shared" si="7"/>
        <v>166.6677455130741</v>
      </c>
      <c r="H146" s="39" t="str">
        <f t="shared" si="17"/>
        <v>116,530704915076-119,771606497177j</v>
      </c>
      <c r="I146" s="39">
        <f t="shared" si="8"/>
        <v>167.10668122764909</v>
      </c>
      <c r="J146" s="39">
        <f t="shared" si="13"/>
        <v>-0.79911236863684276</v>
      </c>
      <c r="K146" s="39">
        <f t="shared" si="14"/>
        <v>-1923.1018196130799</v>
      </c>
      <c r="L146" s="39"/>
      <c r="M146" s="39">
        <f t="shared" si="18"/>
        <v>-81454.962735638124</v>
      </c>
      <c r="N146" s="39">
        <f t="shared" si="19"/>
        <v>306.08018774678607</v>
      </c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"/>
      <c r="AB146" s="34"/>
      <c r="AC146" s="34"/>
      <c r="AD146" s="34"/>
      <c r="AE146" s="34"/>
    </row>
    <row r="147" spans="1:31" x14ac:dyDescent="0.25">
      <c r="A147" s="3"/>
      <c r="B147" s="39">
        <f t="shared" si="12"/>
        <v>1.0600000000000005</v>
      </c>
      <c r="C147" s="39">
        <f t="shared" si="15"/>
        <v>-3.3962264150943659E-2</v>
      </c>
      <c r="D147" s="39" t="str">
        <f t="shared" si="5"/>
        <v>-0,0339622641509437</v>
      </c>
      <c r="E147" s="39" t="str">
        <f t="shared" si="16"/>
        <v>0,966037735849056+j</v>
      </c>
      <c r="F147" s="39" t="str">
        <f t="shared" si="6"/>
        <v>116,430491820184-120,523751298237j</v>
      </c>
      <c r="G147" s="39">
        <f t="shared" si="7"/>
        <v>167.57694964549637</v>
      </c>
      <c r="H147" s="39" t="str">
        <f t="shared" si="17"/>
        <v>116,492941565561-121,075883999659j</v>
      </c>
      <c r="I147" s="39">
        <f t="shared" si="8"/>
        <v>168.01778215681841</v>
      </c>
      <c r="J147" s="39">
        <f t="shared" si="13"/>
        <v>-0.80468678027182905</v>
      </c>
      <c r="K147" s="39">
        <f t="shared" si="14"/>
        <v>-2861.1883751593018</v>
      </c>
      <c r="L147" s="39"/>
      <c r="M147" s="39">
        <f t="shared" si="18"/>
        <v>-81428.566154327127</v>
      </c>
      <c r="N147" s="39">
        <f t="shared" si="19"/>
        <v>303.59046900729771</v>
      </c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"/>
      <c r="AB147" s="34"/>
      <c r="AC147" s="34"/>
      <c r="AD147" s="34"/>
      <c r="AE147" s="34"/>
    </row>
    <row r="148" spans="1:31" x14ac:dyDescent="0.25">
      <c r="A148" s="3"/>
      <c r="B148" s="39">
        <f t="shared" si="12"/>
        <v>1.0800000000000005</v>
      </c>
      <c r="C148" s="39">
        <f t="shared" ref="C148:C179" si="20">$C$29*(1-B148)/B148</f>
        <v>-4.444444444444471E-2</v>
      </c>
      <c r="D148" s="39" t="str">
        <f t="shared" si="5"/>
        <v>-0,0444444444444447</v>
      </c>
      <c r="E148" s="39" t="str">
        <f t="shared" ref="E148:E179" si="21">IMSUM(D148,$F$31,$F$32)</f>
        <v>0,955555555555555+j</v>
      </c>
      <c r="F148" s="39" t="str">
        <f t="shared" si="6"/>
        <v>116,379710893134-121,792720702117j</v>
      </c>
      <c r="G148" s="39">
        <f t="shared" si="7"/>
        <v>168.45683103867688</v>
      </c>
      <c r="H148" s="39" t="str">
        <f t="shared" ref="H148:H160" si="22">IMSUM(F148,$F$38,$F$39)</f>
        <v>116,442160638511-122,344853403539j</v>
      </c>
      <c r="I148" s="39">
        <f t="shared" si="8"/>
        <v>168.89949653121602</v>
      </c>
      <c r="J148" s="39">
        <f t="shared" si="13"/>
        <v>-0.81011261842374216</v>
      </c>
      <c r="K148" s="39">
        <f t="shared" si="14"/>
        <v>-3783.693856479133</v>
      </c>
      <c r="L148" s="39"/>
      <c r="M148" s="39">
        <f t="shared" ref="M148:M160" si="23">-3*$C$35*I148*COS(-J148)</f>
        <v>-81393.070286319198</v>
      </c>
      <c r="N148" s="39">
        <f t="shared" ref="N148:N166" si="24">K148/(3.1415*$C$30*(1-B148))</f>
        <v>301.1056705776785</v>
      </c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"/>
      <c r="AB148" s="34"/>
      <c r="AC148" s="34"/>
      <c r="AD148" s="34"/>
      <c r="AE148" s="34"/>
    </row>
    <row r="149" spans="1:31" x14ac:dyDescent="0.25">
      <c r="A149" s="3"/>
      <c r="B149" s="39">
        <f t="shared" si="12"/>
        <v>1.1000000000000005</v>
      </c>
      <c r="C149" s="39">
        <f t="shared" si="20"/>
        <v>-5.4545454545454806E-2</v>
      </c>
      <c r="D149" s="39" t="str">
        <f t="shared" ref="D149:D158" si="25">COMPLEX(C149,0)</f>
        <v>-0,0545454545454548</v>
      </c>
      <c r="E149" s="39" t="str">
        <f t="shared" si="21"/>
        <v>0,945454545454545+j</v>
      </c>
      <c r="F149" s="39" t="str">
        <f t="shared" ref="F149:F160" si="26">IMDIV($F$35,E149)</f>
        <v>116,3169837668-123,027578984116j</v>
      </c>
      <c r="G149" s="39">
        <f t="shared" ref="G149:G160" si="27">IMABS(F149)</f>
        <v>169.30867049061285</v>
      </c>
      <c r="H149" s="39" t="str">
        <f t="shared" si="22"/>
        <v>116,379433512177-123,579711685538j</v>
      </c>
      <c r="I149" s="39">
        <f t="shared" ref="I149:I160" si="28">IMABS(H149)</f>
        <v>169.75310802720497</v>
      </c>
      <c r="J149" s="39">
        <f t="shared" si="13"/>
        <v>-0.81539542959071909</v>
      </c>
      <c r="K149" s="39">
        <f t="shared" si="14"/>
        <v>-4690.706056903482</v>
      </c>
      <c r="L149" s="39"/>
      <c r="M149" s="39">
        <f t="shared" si="23"/>
        <v>-81349.224025011717</v>
      </c>
      <c r="N149" s="39">
        <f t="shared" si="24"/>
        <v>298.62842953388235</v>
      </c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"/>
      <c r="AB149" s="34"/>
      <c r="AC149" s="34"/>
      <c r="AD149" s="34"/>
      <c r="AE149" s="34"/>
    </row>
    <row r="150" spans="1:31" x14ac:dyDescent="0.25">
      <c r="A150" s="3"/>
      <c r="B150" s="39">
        <f t="shared" si="12"/>
        <v>1.1200000000000006</v>
      </c>
      <c r="C150" s="39">
        <f t="shared" si="20"/>
        <v>-6.4285714285714543E-2</v>
      </c>
      <c r="D150" s="39" t="str">
        <f t="shared" si="25"/>
        <v>-0,0642857142857145</v>
      </c>
      <c r="E150" s="39" t="str">
        <f t="shared" si="21"/>
        <v>0,935714285714285+j</v>
      </c>
      <c r="F150" s="39" t="str">
        <f t="shared" si="26"/>
        <v>116,243301324774-124,229482331819j</v>
      </c>
      <c r="G150" s="39">
        <f t="shared" si="27"/>
        <v>170.13368091978123</v>
      </c>
      <c r="H150" s="39" t="str">
        <f t="shared" si="22"/>
        <v>116,305751070151-124,781615033241j</v>
      </c>
      <c r="I150" s="39">
        <f t="shared" si="28"/>
        <v>170.57983228475717</v>
      </c>
      <c r="J150" s="39">
        <f t="shared" si="13"/>
        <v>-0.82054050464427641</v>
      </c>
      <c r="K150" s="39">
        <f t="shared" si="14"/>
        <v>-5582.3405239248523</v>
      </c>
      <c r="L150" s="39"/>
      <c r="M150" s="39">
        <f t="shared" si="23"/>
        <v>-81297.719998035551</v>
      </c>
      <c r="N150" s="39">
        <f t="shared" si="24"/>
        <v>296.16109734865648</v>
      </c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"/>
      <c r="AB150" s="34"/>
      <c r="AC150" s="34"/>
      <c r="AD150" s="34"/>
      <c r="AE150" s="34"/>
    </row>
    <row r="151" spans="1:31" x14ac:dyDescent="0.25">
      <c r="A151" s="3"/>
      <c r="B151" s="39">
        <f t="shared" si="12"/>
        <v>1.1400000000000006</v>
      </c>
      <c r="C151" s="39">
        <f t="shared" si="20"/>
        <v>-7.3684210526316046E-2</v>
      </c>
      <c r="D151" s="39" t="str">
        <f t="shared" si="25"/>
        <v>-0,073684210526316</v>
      </c>
      <c r="E151" s="39" t="str">
        <f t="shared" si="21"/>
        <v>0,926315789473684+j</v>
      </c>
      <c r="F151" s="39" t="str">
        <f t="shared" si="26"/>
        <v>116,159580177709-125,399546782754j</v>
      </c>
      <c r="G151" s="39">
        <f t="shared" si="27"/>
        <v>170.93301144127108</v>
      </c>
      <c r="H151" s="39" t="str">
        <f t="shared" si="22"/>
        <v>116,222029923086-125,951679484176j</v>
      </c>
      <c r="I151" s="39">
        <f t="shared" si="28"/>
        <v>171.38082099327013</v>
      </c>
      <c r="J151" s="39">
        <f t="shared" si="13"/>
        <v>-0.82555289222031403</v>
      </c>
      <c r="K151" s="39">
        <f t="shared" si="14"/>
        <v>-6458.736656926505</v>
      </c>
      <c r="L151" s="39"/>
      <c r="M151" s="39">
        <f t="shared" si="23"/>
        <v>-81239.198916237117</v>
      </c>
      <c r="N151" s="39">
        <f t="shared" si="24"/>
        <v>293.70576644125771</v>
      </c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"/>
      <c r="AB151" s="34"/>
      <c r="AC151" s="34"/>
      <c r="AD151" s="34"/>
      <c r="AE151" s="34"/>
    </row>
    <row r="152" spans="1:31" x14ac:dyDescent="0.25">
      <c r="A152" s="3"/>
      <c r="B152" s="39">
        <f t="shared" si="12"/>
        <v>1.1600000000000006</v>
      </c>
      <c r="C152" s="39">
        <f t="shared" si="20"/>
        <v>-8.2758620689655435E-2</v>
      </c>
      <c r="D152" s="39" t="str">
        <f t="shared" si="25"/>
        <v>-0,0827586206896554</v>
      </c>
      <c r="E152" s="39" t="str">
        <f t="shared" si="21"/>
        <v>0,917241379310345+j</v>
      </c>
      <c r="F152" s="39" t="str">
        <f t="shared" si="26"/>
        <v>116,066668388697-126,538848995196j</v>
      </c>
      <c r="G152" s="39">
        <f t="shared" si="27"/>
        <v>171.70775118171215</v>
      </c>
      <c r="H152" s="39" t="str">
        <f t="shared" si="22"/>
        <v>116,129118134074-127,090981696618j</v>
      </c>
      <c r="I152" s="39">
        <f t="shared" si="28"/>
        <v>172.15716571553975</v>
      </c>
      <c r="J152" s="39">
        <f t="shared" si="13"/>
        <v>-0.83043741137540694</v>
      </c>
      <c r="K152" s="39">
        <f t="shared" si="14"/>
        <v>-7320.0542439428345</v>
      </c>
      <c r="L152" s="39"/>
      <c r="M152" s="39">
        <f t="shared" si="23"/>
        <v>-81174.253575717739</v>
      </c>
      <c r="N152" s="39">
        <f t="shared" si="24"/>
        <v>291.26429428389332</v>
      </c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"/>
      <c r="AB152" s="34"/>
      <c r="AC152" s="34"/>
      <c r="AD152" s="34"/>
      <c r="AE152" s="34"/>
    </row>
    <row r="153" spans="1:31" x14ac:dyDescent="0.25">
      <c r="A153" s="3"/>
      <c r="B153" s="39">
        <f t="shared" si="12"/>
        <v>1.1800000000000006</v>
      </c>
      <c r="C153" s="39">
        <f t="shared" si="20"/>
        <v>-9.1525423728813823E-2</v>
      </c>
      <c r="D153" s="39" t="str">
        <f t="shared" si="25"/>
        <v>-0,0915254237288138</v>
      </c>
      <c r="E153" s="39" t="str">
        <f t="shared" si="21"/>
        <v>0,908474576271186+j</v>
      </c>
      <c r="F153" s="39" t="str">
        <f t="shared" si="26"/>
        <v>115,9653507419-127,648427122613j</v>
      </c>
      <c r="G153" s="39">
        <f t="shared" si="27"/>
        <v>172.4589328494437</v>
      </c>
      <c r="H153" s="39" t="str">
        <f t="shared" si="22"/>
        <v>116,027800487277-128,200559824035j</v>
      </c>
      <c r="I153" s="39">
        <f t="shared" si="28"/>
        <v>172.90990146637449</v>
      </c>
      <c r="J153" s="39">
        <f t="shared" si="13"/>
        <v>-0.83519866354495498</v>
      </c>
      <c r="K153" s="39">
        <f t="shared" si="14"/>
        <v>-8166.4703901189496</v>
      </c>
      <c r="L153" s="39"/>
      <c r="M153" s="39">
        <f t="shared" si="23"/>
        <v>-81103.43254060662</v>
      </c>
      <c r="N153" s="39">
        <f t="shared" si="24"/>
        <v>288.83832529113556</v>
      </c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"/>
      <c r="AB153" s="34"/>
      <c r="AC153" s="34"/>
      <c r="AD153" s="34"/>
      <c r="AE153" s="34"/>
    </row>
    <row r="154" spans="1:31" x14ac:dyDescent="0.25">
      <c r="A154" s="3"/>
      <c r="B154" s="39">
        <f t="shared" si="12"/>
        <v>1.2000000000000006</v>
      </c>
      <c r="C154" s="39">
        <f t="shared" si="20"/>
        <v>-0.10000000000000026</v>
      </c>
      <c r="D154" s="39" t="str">
        <f t="shared" si="25"/>
        <v>-0,1</v>
      </c>
      <c r="E154" s="39" t="str">
        <f t="shared" si="21"/>
        <v>0,9+j</v>
      </c>
      <c r="F154" s="39" t="str">
        <f t="shared" si="26"/>
        <v>115,85635359116-128,729281767956j</v>
      </c>
      <c r="G154" s="39">
        <f t="shared" si="27"/>
        <v>173.18753607558975</v>
      </c>
      <c r="H154" s="39" t="str">
        <f t="shared" si="22"/>
        <v>115,918803336537-129,281414469378j</v>
      </c>
      <c r="I154" s="39">
        <f t="shared" si="28"/>
        <v>173.64001006155763</v>
      </c>
      <c r="J154" s="39">
        <f t="shared" si="13"/>
        <v>-0.83984104383879388</v>
      </c>
      <c r="K154" s="39">
        <f t="shared" si="14"/>
        <v>-8998.1767955801333</v>
      </c>
      <c r="L154" s="39"/>
      <c r="M154" s="39">
        <f t="shared" si="23"/>
        <v>-81027.243532239358</v>
      </c>
      <c r="N154" s="39">
        <f t="shared" si="24"/>
        <v>286.42931069807747</v>
      </c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"/>
      <c r="AB154" s="34"/>
      <c r="AC154" s="34"/>
      <c r="AD154" s="34"/>
      <c r="AE154" s="34"/>
    </row>
    <row r="155" spans="1:31" x14ac:dyDescent="0.25">
      <c r="A155" s="3"/>
      <c r="B155" s="39">
        <f t="shared" si="12"/>
        <v>1.2200000000000006</v>
      </c>
      <c r="C155" s="39">
        <f t="shared" si="20"/>
        <v>-0.10819672131147566</v>
      </c>
      <c r="D155" s="39" t="str">
        <f t="shared" si="25"/>
        <v>-0,108196721311476</v>
      </c>
      <c r="E155" s="39" t="str">
        <f t="shared" si="21"/>
        <v>0,891803278688524+j</v>
      </c>
      <c r="F155" s="39" t="str">
        <f t="shared" si="26"/>
        <v>115,740349322492-129,782376997647j</v>
      </c>
      <c r="G155" s="39">
        <f t="shared" si="27"/>
        <v>173.89449054082144</v>
      </c>
      <c r="H155" s="39" t="str">
        <f t="shared" si="22"/>
        <v>115,802799067869-130,334509699069j</v>
      </c>
      <c r="I155" s="39">
        <f t="shared" si="28"/>
        <v>174.34842325197539</v>
      </c>
      <c r="J155" s="39">
        <f t="shared" si="13"/>
        <v>-0.84436875170899117</v>
      </c>
      <c r="K155" s="39">
        <f t="shared" si="14"/>
        <v>-9815.3773449335713</v>
      </c>
      <c r="L155" s="39"/>
      <c r="M155" s="39">
        <f t="shared" si="23"/>
        <v>-80946.156548440427</v>
      </c>
      <c r="N155" s="39">
        <f t="shared" si="24"/>
        <v>284.03852661390886</v>
      </c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"/>
      <c r="AB155" s="34"/>
      <c r="AC155" s="34"/>
      <c r="AD155" s="34"/>
      <c r="AE155" s="34"/>
    </row>
    <row r="156" spans="1:31" x14ac:dyDescent="0.25">
      <c r="A156" s="3"/>
      <c r="B156" s="39">
        <f t="shared" si="12"/>
        <v>1.2400000000000007</v>
      </c>
      <c r="C156" s="39">
        <f t="shared" si="20"/>
        <v>-0.11612903225806476</v>
      </c>
      <c r="D156" s="39" t="str">
        <f t="shared" si="25"/>
        <v>-0,116129032258065</v>
      </c>
      <c r="E156" s="39" t="str">
        <f t="shared" si="21"/>
        <v>0,883870967741935+j</v>
      </c>
      <c r="F156" s="39" t="str">
        <f t="shared" si="26"/>
        <v>115,617960461747-130,808641398327j</v>
      </c>
      <c r="G156" s="39">
        <f t="shared" si="27"/>
        <v>174.58067890179086</v>
      </c>
      <c r="H156" s="39" t="str">
        <f t="shared" si="22"/>
        <v>115,680410207124-131,360774099749j</v>
      </c>
      <c r="I156" s="39">
        <f t="shared" si="28"/>
        <v>175.03602565693089</v>
      </c>
      <c r="J156" s="39">
        <f t="shared" si="13"/>
        <v>-0.84878580102360091</v>
      </c>
      <c r="K156" s="39">
        <f t="shared" si="14"/>
        <v>-10618.285974669383</v>
      </c>
      <c r="L156" s="39"/>
      <c r="M156" s="39">
        <f t="shared" si="23"/>
        <v>-80860.606734779678</v>
      </c>
      <c r="N156" s="39">
        <f t="shared" si="24"/>
        <v>281.66709042042953</v>
      </c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"/>
      <c r="AB156" s="34"/>
      <c r="AC156" s="34"/>
      <c r="AD156" s="34"/>
      <c r="AE156" s="34"/>
    </row>
    <row r="157" spans="1:31" x14ac:dyDescent="0.25">
      <c r="A157" s="3"/>
      <c r="B157" s="39">
        <f t="shared" si="12"/>
        <v>1.2600000000000007</v>
      </c>
      <c r="C157" s="39">
        <f t="shared" si="20"/>
        <v>-0.12380952380952405</v>
      </c>
      <c r="D157" s="39" t="str">
        <f t="shared" si="25"/>
        <v>-0,123809523809524</v>
      </c>
      <c r="E157" s="39" t="str">
        <f t="shared" si="21"/>
        <v>0,876190476190476+j</v>
      </c>
      <c r="F157" s="39" t="str">
        <f t="shared" si="26"/>
        <v>115,489763456309-131,808969162091j</v>
      </c>
      <c r="G157" s="39">
        <f t="shared" si="27"/>
        <v>175.24693953038741</v>
      </c>
      <c r="H157" s="39" t="str">
        <f t="shared" si="22"/>
        <v>115,552213201686-132,361101863513j</v>
      </c>
      <c r="I157" s="39">
        <f t="shared" si="28"/>
        <v>175.70365750982864</v>
      </c>
      <c r="J157" s="39">
        <f t="shared" si="13"/>
        <v>-0.85309602957857089</v>
      </c>
      <c r="K157" s="39">
        <f t="shared" si="14"/>
        <v>-11407.124788342147</v>
      </c>
      <c r="L157" s="39"/>
      <c r="M157" s="39">
        <f t="shared" si="23"/>
        <v>-80770.997027978519</v>
      </c>
      <c r="N157" s="39">
        <f t="shared" si="24"/>
        <v>279.31597566919567</v>
      </c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"/>
      <c r="AB157" s="34"/>
      <c r="AC157" s="34"/>
      <c r="AD157" s="34"/>
      <c r="AE157" s="34"/>
    </row>
    <row r="158" spans="1:31" x14ac:dyDescent="0.25">
      <c r="A158" s="3"/>
      <c r="B158" s="39">
        <f t="shared" si="12"/>
        <v>1.2800000000000007</v>
      </c>
      <c r="C158" s="39">
        <f t="shared" si="20"/>
        <v>-0.13125000000000023</v>
      </c>
      <c r="D158" s="39" t="str">
        <f t="shared" si="25"/>
        <v>-0,13125</v>
      </c>
      <c r="E158" s="39" t="str">
        <f t="shared" si="21"/>
        <v>0,86875+j</v>
      </c>
      <c r="F158" s="39" t="str">
        <f t="shared" si="26"/>
        <v>115,356292157343-132,784221188308j</v>
      </c>
      <c r="G158" s="39">
        <f t="shared" si="27"/>
        <v>175.89406907816925</v>
      </c>
      <c r="H158" s="39" t="str">
        <f t="shared" si="22"/>
        <v>115,41874190272-133,33635388973j</v>
      </c>
      <c r="I158" s="39">
        <f t="shared" si="28"/>
        <v>176.35211722861172</v>
      </c>
      <c r="J158" s="39">
        <f t="shared" si="13"/>
        <v>-0.85730310807907606</v>
      </c>
      <c r="K158" s="39">
        <f t="shared" si="14"/>
        <v>-12182.122392644858</v>
      </c>
      <c r="L158" s="39"/>
      <c r="M158" s="39">
        <f t="shared" si="23"/>
        <v>-80677.700590001274</v>
      </c>
      <c r="N158" s="39">
        <f t="shared" si="24"/>
        <v>276.98602561662597</v>
      </c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"/>
      <c r="AB158" s="34"/>
      <c r="AC158" s="34"/>
      <c r="AD158" s="34"/>
      <c r="AE158" s="34"/>
    </row>
    <row r="159" spans="1:31" x14ac:dyDescent="0.25">
      <c r="A159" s="3"/>
      <c r="B159" s="39">
        <f t="shared" si="12"/>
        <v>1.3000000000000007</v>
      </c>
      <c r="C159" s="39">
        <f t="shared" si="20"/>
        <v>-0.13846153846153869</v>
      </c>
      <c r="D159" s="39"/>
      <c r="E159" s="39" t="str">
        <f>IMSUM(C159,$F$31,$F$32)</f>
        <v>0,861538461538461+j</v>
      </c>
      <c r="F159" s="39" t="str">
        <f t="shared" si="26"/>
        <v>115,218041027034-133,735226192094j</v>
      </c>
      <c r="G159" s="39">
        <f t="shared" si="27"/>
        <v>176.52282487757168</v>
      </c>
      <c r="H159" s="39" t="str">
        <f t="shared" si="22"/>
        <v>115,280490772411-134,287358893516j</v>
      </c>
      <c r="I159" s="39">
        <f t="shared" si="28"/>
        <v>176.98216382258386</v>
      </c>
      <c r="J159" s="39">
        <f t="shared" si="13"/>
        <v>-0.86141054861984367</v>
      </c>
      <c r="K159" s="39">
        <f t="shared" si="14"/>
        <v>-12943.512430376355</v>
      </c>
      <c r="L159" s="39"/>
      <c r="M159" s="39">
        <f t="shared" si="23"/>
        <v>-80581.063049915305</v>
      </c>
      <c r="N159" s="39">
        <f t="shared" si="24"/>
        <v>274.67796552339803</v>
      </c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"/>
    </row>
    <row r="160" spans="1:31" x14ac:dyDescent="0.25">
      <c r="A160" s="3"/>
      <c r="B160" s="39">
        <f t="shared" si="12"/>
        <v>1.3200000000000007</v>
      </c>
      <c r="C160" s="39">
        <f t="shared" si="20"/>
        <v>-0.1454545454545457</v>
      </c>
      <c r="D160" s="39"/>
      <c r="E160" s="39" t="str">
        <f>IMSUM(C160,$F$31,$F$32)</f>
        <v>0,854545454545454+j</v>
      </c>
      <c r="F160" s="39" t="str">
        <f t="shared" si="26"/>
        <v>115,075468093237-134,662781811234j</v>
      </c>
      <c r="G160" s="39">
        <f t="shared" si="27"/>
        <v>177.13392719074918</v>
      </c>
      <c r="H160" s="39" t="str">
        <f t="shared" si="22"/>
        <v>115,137917838614-135,214914512656j</v>
      </c>
      <c r="I160" s="39">
        <f t="shared" si="28"/>
        <v>177.59451914649929</v>
      </c>
      <c r="J160" s="39">
        <f t="shared" si="13"/>
        <v>-0.86542171269290091</v>
      </c>
      <c r="K160" s="39">
        <f t="shared" si="14"/>
        <v>-13691.532288880442</v>
      </c>
      <c r="L160" s="39"/>
      <c r="M160" s="39">
        <f t="shared" si="23"/>
        <v>-80481.404569191189</v>
      </c>
      <c r="N160" s="39">
        <f t="shared" si="24"/>
        <v>272.39241383257223</v>
      </c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"/>
    </row>
    <row r="161" spans="2:26" x14ac:dyDescent="0.25"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>
        <f t="shared" si="24"/>
        <v>0</v>
      </c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2:26" x14ac:dyDescent="0.25"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>
        <f t="shared" si="24"/>
        <v>0</v>
      </c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2:26" x14ac:dyDescent="0.25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39">
        <f t="shared" si="24"/>
        <v>0</v>
      </c>
    </row>
    <row r="164" spans="2:26" x14ac:dyDescent="0.25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39">
        <f t="shared" si="24"/>
        <v>0</v>
      </c>
    </row>
    <row r="165" spans="2:26" x14ac:dyDescent="0.25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39">
        <f t="shared" si="24"/>
        <v>0</v>
      </c>
    </row>
    <row r="166" spans="2:26" x14ac:dyDescent="0.25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39">
        <f t="shared" si="24"/>
        <v>0</v>
      </c>
    </row>
  </sheetData>
  <sheetProtection algorithmName="SHA-512" hashValue="YsgteP5W4KbiYpJUxasIBO+haaQMNFYFzOCZyNXzirKHPVg6fyqKSFa0h4jqWxIvHZR8yYtB8IMAPGEHP8rXTg==" saltValue="GmwLPqj3Zgb0V2vRjRsgZQ==" spinCount="100000" sheet="1" objects="1" scenarios="1"/>
  <pageMargins left="0.7" right="0.7" top="0.75" bottom="0.75" header="0.3" footer="0.3"/>
  <pageSetup paperSize="9" scale="63" orientation="portrait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2021-02-28T12:46:54Z</dcterms:created>
  <dcterms:modified xsi:type="dcterms:W3CDTF">2025-02-11T14:45:18Z</dcterms:modified>
</cp:coreProperties>
</file>